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firstSheet="1" activeTab="1"/>
  </bookViews>
  <sheets>
    <sheet name="wydatki 2005-II" sheetId="1" r:id="rId1"/>
    <sheet name="projekt 2005" sheetId="2" r:id="rId2"/>
  </sheets>
  <definedNames>
    <definedName name="_xlnm.Print_Titles" localSheetId="1">'projekt 2005'!$12:$12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D87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<sst xmlns="http://schemas.openxmlformats.org/spreadsheetml/2006/main" count="698" uniqueCount="277">
  <si>
    <t>I. Zadania własne</t>
  </si>
  <si>
    <t>w złotych</t>
  </si>
  <si>
    <t>Dz.</t>
  </si>
  <si>
    <t>Rozdz.</t>
  </si>
  <si>
    <t>Wyszczególnienie</t>
  </si>
  <si>
    <t>Pozostała działalność</t>
  </si>
  <si>
    <t>wydatki bieżące</t>
  </si>
  <si>
    <t>Leśnictwo</t>
  </si>
  <si>
    <t>Drogi publiczne gminne</t>
  </si>
  <si>
    <t>wydatki majątkowe</t>
  </si>
  <si>
    <t>w tym:</t>
  </si>
  <si>
    <t>wynagrodzenia i pochodne od wynagrodzeń</t>
  </si>
  <si>
    <t>Zakłady gospodarki mieszkaniowej</t>
  </si>
  <si>
    <t>dotacje</t>
  </si>
  <si>
    <t>Ochotnicze straże pożarne</t>
  </si>
  <si>
    <t>Gospodarka gruntami i nieruchomościami</t>
  </si>
  <si>
    <t>Oświata i wychowanie</t>
  </si>
  <si>
    <t>Szkoły podstawowe</t>
  </si>
  <si>
    <t>Gimnazja</t>
  </si>
  <si>
    <t>Dowożenie uczniów do szkół</t>
  </si>
  <si>
    <t>Muzea</t>
  </si>
  <si>
    <t>Biblioteki</t>
  </si>
  <si>
    <t>Ochrona zdrowia</t>
  </si>
  <si>
    <t>Żłobki</t>
  </si>
  <si>
    <t>Przeciwdziałanie alkoholizmowi</t>
  </si>
  <si>
    <t>Opieka społeczna</t>
  </si>
  <si>
    <t>Dodatki mieszkaniowe</t>
  </si>
  <si>
    <t>Izby wytrzeźwień</t>
  </si>
  <si>
    <t>Obrona cywilna</t>
  </si>
  <si>
    <t>Różne rozliczenia</t>
  </si>
  <si>
    <t>Rezerwy ogólne i celowe</t>
  </si>
  <si>
    <t>010</t>
  </si>
  <si>
    <t>Rolnictwo i łowiectwo</t>
  </si>
  <si>
    <t>020</t>
  </si>
  <si>
    <t>600</t>
  </si>
  <si>
    <t>60016</t>
  </si>
  <si>
    <t>Transport i łączność</t>
  </si>
  <si>
    <t>630</t>
  </si>
  <si>
    <t>Turystyka</t>
  </si>
  <si>
    <t>700</t>
  </si>
  <si>
    <t>70001</t>
  </si>
  <si>
    <t>Gospodarka mieszkaniowa</t>
  </si>
  <si>
    <t>70005</t>
  </si>
  <si>
    <t>70095</t>
  </si>
  <si>
    <t>710</t>
  </si>
  <si>
    <t>Działalność usługowa</t>
  </si>
  <si>
    <t>750</t>
  </si>
  <si>
    <t>Administracja publiczna</t>
  </si>
  <si>
    <t>75022</t>
  </si>
  <si>
    <t>Rady gmin (miast i miast na prawach powiatu)</t>
  </si>
  <si>
    <t>75023</t>
  </si>
  <si>
    <t>Urzędy gmin (miast i miast na prawach powiatu)</t>
  </si>
  <si>
    <t>75095</t>
  </si>
  <si>
    <t>754</t>
  </si>
  <si>
    <t>Bezpieczeństwo publiczne i ochrona przeciwpożarowa</t>
  </si>
  <si>
    <t>75412</t>
  </si>
  <si>
    <t>75414</t>
  </si>
  <si>
    <t>75416</t>
  </si>
  <si>
    <t>Straż Miejska</t>
  </si>
  <si>
    <t>758</t>
  </si>
  <si>
    <t>75818</t>
  </si>
  <si>
    <t>801</t>
  </si>
  <si>
    <t>80101</t>
  </si>
  <si>
    <t>80104</t>
  </si>
  <si>
    <t>80110</t>
  </si>
  <si>
    <t>80113</t>
  </si>
  <si>
    <t>80114</t>
  </si>
  <si>
    <t>80195</t>
  </si>
  <si>
    <t>851</t>
  </si>
  <si>
    <t>85154</t>
  </si>
  <si>
    <t>85158</t>
  </si>
  <si>
    <t>853</t>
  </si>
  <si>
    <t>85305</t>
  </si>
  <si>
    <t>Ośrodki pomocy społecznej</t>
  </si>
  <si>
    <t>Usługi opiekuńcze i specjalistyczne usługi opiekuńcze</t>
  </si>
  <si>
    <t>85395</t>
  </si>
  <si>
    <t>854</t>
  </si>
  <si>
    <t>Edukacyjna opieka wychowawcza</t>
  </si>
  <si>
    <t>85401</t>
  </si>
  <si>
    <t>Świetlice szkolne</t>
  </si>
  <si>
    <t>85412</t>
  </si>
  <si>
    <t>900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</si>
  <si>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</si>
  <si>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</si>
  <si>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</si>
  <si>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</si>
  <si>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</si>
  <si>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</si>
  <si>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</si>
  <si>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</si>
  <si>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</si>
  <si>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</si>
  <si>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</si>
  <si>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</si>
  <si>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</si>
  <si>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92118</t>
  </si>
  <si>
    <t>92195</t>
  </si>
  <si>
    <t>926</t>
  </si>
  <si>
    <t>Kultura fizyczna i sport</t>
  </si>
  <si>
    <t>92605</t>
  </si>
  <si>
    <t>Zadania w zakresie kultury fizycznej i sportu</t>
  </si>
  <si>
    <t>Razem zadania własne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</si>
  <si>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</si>
  <si>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</si>
  <si>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</si>
  <si>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</si>
  <si>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</si>
  <si>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</si>
  <si>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Razem zadania zlecone</t>
  </si>
  <si>
    <t>90001</t>
  </si>
  <si>
    <t>Gospodarka ściekowa i ochrona wód</t>
  </si>
  <si>
    <t>92601</t>
  </si>
  <si>
    <t>Obiekty sportowe</t>
  </si>
  <si>
    <t>60004</t>
  </si>
  <si>
    <t>Lokalny transport zbiorowy</t>
  </si>
  <si>
    <t>Ośrodki wsparcia</t>
  </si>
  <si>
    <t>02001</t>
  </si>
  <si>
    <t>Gospodarka leśna</t>
  </si>
  <si>
    <t>90013</t>
  </si>
  <si>
    <t>Schroniska dla zwierząt</t>
  </si>
  <si>
    <t>757</t>
  </si>
  <si>
    <t>75704</t>
  </si>
  <si>
    <t>Obsługa długu publicznego</t>
  </si>
  <si>
    <t>Rozliczenia z tytułu poręczeń i gwarancji udzielonych przez Skarb Państwa lub jednostkę samorządu terytorialnego</t>
  </si>
  <si>
    <t>75702</t>
  </si>
  <si>
    <t>Obsługa papierów wartościowych, kredytów i pożyczek jednostek samorządu terytorialnego</t>
  </si>
  <si>
    <t>II. Zadania zlecone z zakresu administracji rządowej</t>
  </si>
  <si>
    <t>Razem zadania realizowane na podstawie porozumień z organami administracji rządowej i jednostkami samorządu terytorialnego</t>
  </si>
  <si>
    <t>III. Zadania realizowane na podstawie umów lub porozumień z organami administracji rządowej i jednostkami samorządu terytorialnego</t>
  </si>
  <si>
    <t>01030</t>
  </si>
  <si>
    <t>500</t>
  </si>
  <si>
    <t>Handel</t>
  </si>
  <si>
    <t>50095</t>
  </si>
  <si>
    <t>Pozostala działalność</t>
  </si>
  <si>
    <t>Izby rolnicze</t>
  </si>
  <si>
    <t>60017</t>
  </si>
  <si>
    <t>Drogi wewnętrzne</t>
  </si>
  <si>
    <t xml:space="preserve">OGÓŁEM  WYDATKI  (własne, zlecone i na podstawie porozumień) </t>
  </si>
  <si>
    <t xml:space="preserve">Zasiłki i pomoc w naturze oraz składki na ubezpieczenia społeczne </t>
  </si>
  <si>
    <t>71004</t>
  </si>
  <si>
    <t>80145</t>
  </si>
  <si>
    <t>Komisje egzaminacyjne</t>
  </si>
  <si>
    <t>80146</t>
  </si>
  <si>
    <t>Dokształcanie i doskonalenie nauczycieli</t>
  </si>
  <si>
    <t>Plany zagospodarowania przestrzennego</t>
  </si>
  <si>
    <t>Cmentarze</t>
  </si>
  <si>
    <t>60013</t>
  </si>
  <si>
    <t>Drogi publiczne wojewódzkie</t>
  </si>
  <si>
    <t>wydatki majatkowe</t>
  </si>
  <si>
    <t xml:space="preserve">                                                                             Załącznik Nr 2</t>
  </si>
  <si>
    <t xml:space="preserve">                                                                             do Uchwały Budżetowej</t>
  </si>
  <si>
    <t xml:space="preserve">                                                                             Rady Miejskiej w Chrzanowie</t>
  </si>
  <si>
    <t>Wydatki majątkowe</t>
  </si>
  <si>
    <t>Komendy powiatowe Państwowej Straży Pożarnej</t>
  </si>
  <si>
    <t>852</t>
  </si>
  <si>
    <t>85213</t>
  </si>
  <si>
    <t>85214</t>
  </si>
  <si>
    <t>63003</t>
  </si>
  <si>
    <t>Zadania w zakresie upowszechniania turystyki</t>
  </si>
  <si>
    <t>Przedszkola</t>
  </si>
  <si>
    <t>Zespoły obsługi ekonomiczno-administracyjnej szkół</t>
  </si>
  <si>
    <t>Pozostałe zadania w zakresie polityki społecznej</t>
  </si>
  <si>
    <t>Gospodarka odpadami</t>
  </si>
  <si>
    <t>Plan na 2004 rok</t>
  </si>
  <si>
    <t>756</t>
  </si>
  <si>
    <t>75647</t>
  </si>
  <si>
    <t>85215</t>
  </si>
  <si>
    <t>85219</t>
  </si>
  <si>
    <t>85228</t>
  </si>
  <si>
    <t>85295</t>
  </si>
  <si>
    <t>60014</t>
  </si>
  <si>
    <t>75495</t>
  </si>
  <si>
    <t>Lecznictwo ambulatoryjne</t>
  </si>
  <si>
    <t>wydatki na obsługę długu</t>
  </si>
  <si>
    <t xml:space="preserve">wydatki z tytułu poręczeń i gwarancji udzielonych </t>
  </si>
  <si>
    <t>Wydatki bieżące</t>
  </si>
  <si>
    <t>Dochody od osób prawnych, od osób fizycznych i od innych jednostek nieposiadających osobowości prawnej oraz wydatki związane z ich poborem</t>
  </si>
  <si>
    <t>Pomoc społeczna</t>
  </si>
  <si>
    <t>Kolonie i obozy oraz inne formy wypoczynku dzieci i młodzieży szkolnej, a także szkolenia młodzieży</t>
  </si>
  <si>
    <t>85203</t>
  </si>
  <si>
    <t>1</t>
  </si>
  <si>
    <t>2</t>
  </si>
  <si>
    <t>Drogi publiczne powiatowe</t>
  </si>
  <si>
    <t>Towarzystwa budownictwa społecznego</t>
  </si>
  <si>
    <t>Projekt wydatków na 2005 rok</t>
  </si>
  <si>
    <t>Plan po zmianach na 30.09.2004</t>
  </si>
  <si>
    <t>Plan na 2005</t>
  </si>
  <si>
    <t>Wydatki niewygasające</t>
  </si>
  <si>
    <t xml:space="preserve"> 5 / 4</t>
  </si>
  <si>
    <t>*</t>
  </si>
  <si>
    <t>Drogi  wewnętrzne</t>
  </si>
  <si>
    <t xml:space="preserve">Gospodarka mieszkaniowa </t>
  </si>
  <si>
    <t xml:space="preserve">* </t>
  </si>
  <si>
    <t xml:space="preserve"> </t>
  </si>
  <si>
    <t>Komendy wojewódzkie Policji</t>
  </si>
  <si>
    <t>Komendy powiatowe Policji</t>
  </si>
  <si>
    <t>pompa OSP Balin</t>
  </si>
  <si>
    <t>58.285-SM+474.842ORG</t>
  </si>
  <si>
    <t>Dochody od osób prawnych, od osób fizycznych i od innych jednostek nie posiadających osobowości prawnej</t>
  </si>
  <si>
    <t>Pobór podatków, opłat i niepodatkowych należności budżetowych</t>
  </si>
  <si>
    <t>Obsługa papierów wartościowych,kredytów i pożyczek jednostek samorządu terytorialnego</t>
  </si>
  <si>
    <t>obsługa długu</t>
  </si>
  <si>
    <t>Składki na fundusz pracy od  wynagrodzeń osobowych pracowników- 96 814,-</t>
  </si>
  <si>
    <t xml:space="preserve">Przedszkola </t>
  </si>
  <si>
    <t xml:space="preserve">Wydatki przysługujące pracownikom zgodnie  z przepisami BHP , pomoc zdrowotna dla nauczycieli , odszkodowania z tytułu uszczerbku na zdrowiu dla pracowników szkół podstawowych, dodatek mieszkaniowy , dodatek wiejski - 85 327,-  </t>
  </si>
  <si>
    <t>Wydatki na materiały do bieżących konserwacji i napraw , opał , środki czystości, artykuły administracyjno-biurowe, druki, prenumerata czasopism , zakup drobnego wyposażenia oraz pozostałych atrykułów gospodarczych- 87 045,- .</t>
  </si>
  <si>
    <t>Wydatki na pomoce dydaktyczne i naukowe, książki-podręczniki do bibliotek- 31 579,-</t>
  </si>
  <si>
    <t>Wydatki na  energię elektryczną, ciepło, gaz i wodę- 461 109,-</t>
  </si>
  <si>
    <t xml:space="preserve">Wydatki za prace remontowe , drobne naprawy i konserwacje dźwigów - 208 811,-  </t>
  </si>
  <si>
    <t>Wydatki na badania okresowe pracowników Szkół - 5 117,-</t>
  </si>
  <si>
    <t xml:space="preserve">Wydatki na dzierżawę pojemników na nieczystości stałe, usługi transportowe, usługi łączności , wywóz nieczystości stałych i płynnych ; koszty obsługi bankowej, pozostałe koszty tj.: obsługa prawna, opłaty RTV, oprawa arkuszy ocen, nadzór nad kotłowniami, ekspertyza wody- 85 672,- </t>
  </si>
  <si>
    <t>profilaktyka zdrowotna</t>
  </si>
  <si>
    <t>Programy polityki zdrowotnej</t>
  </si>
  <si>
    <t>działalność bieżąca</t>
  </si>
  <si>
    <t>20.000-dotacja Jaworzno</t>
  </si>
  <si>
    <t>wydatki bieżące                              w tym:</t>
  </si>
  <si>
    <t>dotacja Jaworzno</t>
  </si>
  <si>
    <t>Domy pomocy społecznej</t>
  </si>
  <si>
    <t>Świadczenia społeczne oraz składki na ubezpieczenia emertytalne i rentowe z ubezpieczenia społecznego</t>
  </si>
  <si>
    <t>1.840.000 własne+242.720 zlecone</t>
  </si>
  <si>
    <t>5.000 własne</t>
  </si>
  <si>
    <t>1.782.495 własne+525.770 zlecone</t>
  </si>
  <si>
    <t>wn tym:</t>
  </si>
  <si>
    <t>`</t>
  </si>
  <si>
    <t xml:space="preserve">Pozostała działalność                </t>
  </si>
  <si>
    <t>dowóz dzieci niepełnosprawnych do Ośrodka Rehabilitacyjnego w Jaworznie</t>
  </si>
  <si>
    <t>plac zabaw</t>
  </si>
  <si>
    <t>Oświetlenie ulic ,placów i dróg</t>
  </si>
  <si>
    <t>Wpływy i wydatki związane z gromadzeniem środków z opłat produktowych</t>
  </si>
  <si>
    <t>wydatki bieżące                                          w tym:</t>
  </si>
  <si>
    <t>związek GK</t>
  </si>
  <si>
    <t>majątkowe</t>
  </si>
  <si>
    <t xml:space="preserve">Domy i ośrodki kultury, świetlice i kluby </t>
  </si>
  <si>
    <t xml:space="preserve">w tym : </t>
  </si>
  <si>
    <r>
      <t xml:space="preserve">RAZEM </t>
    </r>
    <r>
      <rPr>
        <b/>
        <sz val="12"/>
        <rFont val="Arial CE"/>
        <family val="2"/>
      </rPr>
      <t>wydatki na zadania własne</t>
    </r>
  </si>
  <si>
    <t xml:space="preserve">II. Zadania zlecone z zakresu administracji rządowej </t>
  </si>
  <si>
    <t>Plan na 2003 rok</t>
  </si>
  <si>
    <t>Plan po zmianach</t>
  </si>
  <si>
    <t>Plan na 2005 rok</t>
  </si>
  <si>
    <t>Niewygasające wydatki</t>
  </si>
  <si>
    <t>Urzędy naczelnych organów władzy państwowej,kontroli i ochrony prawa oraz sądownictwa</t>
  </si>
  <si>
    <t xml:space="preserve">Urzędy naczelnych organów władzy państwowej,kontroli i ochrony prawa </t>
  </si>
  <si>
    <t>Wybory do Parlamentu Europejskiego</t>
  </si>
  <si>
    <t>świadczenia rodzinne oraz składki na ubezpieczenia emerytalnei rentowe z ubezpieczenia społecznego</t>
  </si>
  <si>
    <t xml:space="preserve">Składki na ubezpieczenie zdrowotne opłacane za osoby pobierające niektóre świadczenia z pomocy społecznej                                                                                     </t>
  </si>
  <si>
    <t>Dotacje celowe przekazane z budżetu państwa na realizację zadań bieżących z zakresu administracji rządowej oraz innych zadań zleconych gminom(związkom gmin) ustawami</t>
  </si>
  <si>
    <t>Zasiłki rodzinne, pielęgnacyjne  i wychowawcze</t>
  </si>
  <si>
    <r>
      <t xml:space="preserve">Razem </t>
    </r>
    <r>
      <rPr>
        <b/>
        <sz val="12"/>
        <rFont val="Arial CE"/>
        <family val="2"/>
      </rPr>
      <t>wydatki</t>
    </r>
    <r>
      <rPr>
        <b/>
        <sz val="14"/>
        <rFont val="Arial CE"/>
        <family val="2"/>
      </rPr>
      <t xml:space="preserve"> </t>
    </r>
    <r>
      <rPr>
        <b/>
        <sz val="12"/>
        <rFont val="Arial CE"/>
        <family val="2"/>
      </rPr>
      <t xml:space="preserve">na zadania zlecone </t>
    </r>
  </si>
  <si>
    <t>III. Zadania zlecone realizowane na podstawie porozumień</t>
  </si>
  <si>
    <r>
      <t>Razem</t>
    </r>
    <r>
      <rPr>
        <b/>
        <sz val="14"/>
        <rFont val="Arial CE"/>
        <family val="2"/>
      </rPr>
      <t xml:space="preserve"> </t>
    </r>
    <r>
      <rPr>
        <b/>
        <sz val="12"/>
        <rFont val="Arial CE"/>
        <family val="2"/>
      </rPr>
      <t>wydatki</t>
    </r>
    <r>
      <rPr>
        <b/>
        <sz val="14"/>
        <rFont val="Arial CE"/>
        <family val="2"/>
      </rPr>
      <t xml:space="preserve"> </t>
    </r>
    <r>
      <rPr>
        <b/>
        <sz val="12"/>
        <rFont val="Arial CE"/>
        <family val="2"/>
      </rPr>
      <t xml:space="preserve"> realizowane na podstawie porozumień i umów</t>
    </r>
  </si>
  <si>
    <t xml:space="preserve">Ogółem: </t>
  </si>
  <si>
    <t>Plan wydatków budżetu Gminy Chrzanów na 2005 rok</t>
  </si>
  <si>
    <t>371.000-BR+23.000ORG</t>
  </si>
  <si>
    <t>20.000 GKiOŚ+131.240AG+35.000podatki</t>
  </si>
  <si>
    <t>500.000UM</t>
  </si>
  <si>
    <t xml:space="preserve">                                                                             Gminy Chrzanów na 2005 rok</t>
  </si>
  <si>
    <t>4.597.234 ORG+1430.000AG+60.000GCI+80.000IPP</t>
  </si>
  <si>
    <t>26.000 Basen</t>
  </si>
  <si>
    <t>58.600-WSS+57.000ZSiP</t>
  </si>
  <si>
    <t>5.806.400 ZSiP+217.600 dotacja</t>
  </si>
  <si>
    <t>4.347,107 A01+10.000A20</t>
  </si>
  <si>
    <t>35.000 sołtysi+20.000A20</t>
  </si>
  <si>
    <t>1.205.570 własne+525.770 dotacja</t>
  </si>
  <si>
    <t>290.000-Promocje+30.000 wejście</t>
  </si>
  <si>
    <t>w tym dotacja</t>
  </si>
  <si>
    <t>85149</t>
  </si>
  <si>
    <t>85202</t>
  </si>
  <si>
    <t>85212</t>
  </si>
  <si>
    <t>33.000WSS+150.000 projekt</t>
  </si>
  <si>
    <t>Świadczenia rodzinne oraz składki na ubezpieczenia emerytalne i rentowe z ubezpieczenia społecznego</t>
  </si>
  <si>
    <t>Składki na ubezpieczenie zdrowotne opłacane za osoby pobierające niektóre świadczenia  z pomocy społecznej oraz niektóre świadczenia rodzinne</t>
  </si>
  <si>
    <t>Specjalne ośrodki szkolno-wychowawcze</t>
  </si>
  <si>
    <t>90020</t>
  </si>
  <si>
    <t>85403</t>
  </si>
  <si>
    <t>Oświata i wychowania</t>
  </si>
  <si>
    <t xml:space="preserve">                                                                             Nr XXXIII/309/05</t>
  </si>
  <si>
    <t xml:space="preserve">                                                                             z dnia 22 lutego 2005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</si>
</sst>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%"/>
  </numFmts>
  <fonts count="33">
    <font>
      <sz val="10"/>
      <name val="Arial CE"/>
      <family val="0"/>
    </font>
    <font>
      <sz val="11"/>
      <name val="Arial CE"/>
      <family val="2"/>
    </font>
    <font>
      <i/>
      <sz val="14"/>
      <name val="Arial CE"/>
      <family val="2"/>
    </font>
    <font>
      <i/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b/>
      <sz val="14"/>
      <color indexed="8"/>
      <name val="Arial CE"/>
      <family val="2"/>
    </font>
    <font>
      <b/>
      <i/>
      <sz val="14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4"/>
      <color indexed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4"/>
      <color indexed="47"/>
      <name val="Arial CE"/>
      <family val="2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47"/>
      <name val="Arial CE"/>
      <family val="2"/>
    </font>
    <font>
      <b/>
      <sz val="13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horizontal="right" vertical="top"/>
    </xf>
    <xf numFmtId="3" fontId="4" fillId="0" borderId="1" xfId="0" applyNumberFormat="1" applyFont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 vertical="top"/>
    </xf>
    <xf numFmtId="49" fontId="8" fillId="0" borderId="4" xfId="0" applyNumberFormat="1" applyFont="1" applyBorder="1" applyAlignment="1">
      <alignment horizontal="center" vertical="top"/>
    </xf>
    <xf numFmtId="3" fontId="8" fillId="0" borderId="5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3" fontId="8" fillId="0" borderId="6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49" fontId="8" fillId="0" borderId="7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/>
    </xf>
    <xf numFmtId="3" fontId="4" fillId="0" borderId="9" xfId="0" applyNumberFormat="1" applyFont="1" applyBorder="1" applyAlignment="1">
      <alignment horizontal="right" vertical="top"/>
    </xf>
    <xf numFmtId="3" fontId="8" fillId="0" borderId="7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3" fontId="8" fillId="0" borderId="3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0" fontId="8" fillId="0" borderId="5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49" fontId="8" fillId="0" borderId="19" xfId="0" applyNumberFormat="1" applyFont="1" applyBorder="1" applyAlignment="1">
      <alignment horizontal="right" vertical="top"/>
    </xf>
    <xf numFmtId="49" fontId="8" fillId="0" borderId="4" xfId="0" applyNumberFormat="1" applyFont="1" applyBorder="1" applyAlignment="1">
      <alignment horizontal="right" vertical="top"/>
    </xf>
    <xf numFmtId="49" fontId="4" fillId="0" borderId="20" xfId="0" applyNumberFormat="1" applyFont="1" applyBorder="1" applyAlignment="1">
      <alignment horizontal="right" vertical="top"/>
    </xf>
    <xf numFmtId="49" fontId="4" fillId="0" borderId="21" xfId="0" applyNumberFormat="1" applyFont="1" applyBorder="1" applyAlignment="1">
      <alignment horizontal="right" vertical="top"/>
    </xf>
    <xf numFmtId="49" fontId="4" fillId="0" borderId="19" xfId="0" applyNumberFormat="1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right" vertical="top"/>
    </xf>
    <xf numFmtId="49" fontId="8" fillId="0" borderId="22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horizontal="right" vertical="top"/>
    </xf>
    <xf numFmtId="49" fontId="7" fillId="0" borderId="4" xfId="0" applyNumberFormat="1" applyFont="1" applyBorder="1" applyAlignment="1">
      <alignment horizontal="right" vertical="top"/>
    </xf>
    <xf numFmtId="49" fontId="4" fillId="0" borderId="23" xfId="0" applyNumberFormat="1" applyFont="1" applyBorder="1" applyAlignment="1">
      <alignment horizontal="right" vertical="top"/>
    </xf>
    <xf numFmtId="49" fontId="8" fillId="0" borderId="24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right" vertical="top"/>
    </xf>
    <xf numFmtId="49" fontId="8" fillId="0" borderId="5" xfId="0" applyNumberFormat="1" applyFont="1" applyBorder="1" applyAlignment="1">
      <alignment horizontal="right" vertical="top"/>
    </xf>
    <xf numFmtId="49" fontId="4" fillId="0" borderId="12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8" fillId="0" borderId="25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left" vertical="top"/>
    </xf>
    <xf numFmtId="49" fontId="5" fillId="0" borderId="26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/>
    </xf>
    <xf numFmtId="3" fontId="3" fillId="0" borderId="26" xfId="0" applyNumberFormat="1" applyFont="1" applyBorder="1" applyAlignment="1">
      <alignment horizontal="right" vertical="top"/>
    </xf>
    <xf numFmtId="0" fontId="0" fillId="0" borderId="26" xfId="0" applyBorder="1" applyAlignment="1">
      <alignment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13" fillId="0" borderId="5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3" fillId="0" borderId="12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3" fillId="0" borderId="13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horizontal="right" vertical="top"/>
    </xf>
    <xf numFmtId="3" fontId="13" fillId="0" borderId="6" xfId="0" applyNumberFormat="1" applyFont="1" applyBorder="1" applyAlignment="1">
      <alignment horizontal="right" vertical="top" wrapText="1"/>
    </xf>
    <xf numFmtId="3" fontId="13" fillId="0" borderId="5" xfId="0" applyNumberFormat="1" applyFont="1" applyBorder="1" applyAlignment="1">
      <alignment horizontal="right" vertical="top"/>
    </xf>
    <xf numFmtId="3" fontId="13" fillId="0" borderId="10" xfId="0" applyNumberFormat="1" applyFont="1" applyBorder="1" applyAlignment="1">
      <alignment horizontal="right" vertical="top"/>
    </xf>
    <xf numFmtId="3" fontId="14" fillId="0" borderId="5" xfId="0" applyNumberFormat="1" applyFont="1" applyBorder="1" applyAlignment="1">
      <alignment horizontal="right" vertical="top" wrapText="1"/>
    </xf>
    <xf numFmtId="3" fontId="15" fillId="0" borderId="13" xfId="0" applyNumberFormat="1" applyFont="1" applyBorder="1" applyAlignment="1">
      <alignment horizontal="right" vertical="top" wrapText="1"/>
    </xf>
    <xf numFmtId="3" fontId="15" fillId="0" borderId="12" xfId="0" applyNumberFormat="1" applyFont="1" applyBorder="1" applyAlignment="1">
      <alignment horizontal="right" vertical="top" wrapText="1"/>
    </xf>
    <xf numFmtId="3" fontId="15" fillId="0" borderId="3" xfId="0" applyNumberFormat="1" applyFont="1" applyBorder="1" applyAlignment="1">
      <alignment horizontal="right" vertical="top" wrapText="1"/>
    </xf>
    <xf numFmtId="3" fontId="15" fillId="0" borderId="6" xfId="0" applyNumberFormat="1" applyFont="1" applyBorder="1" applyAlignment="1">
      <alignment horizontal="right" vertical="top" wrapText="1"/>
    </xf>
    <xf numFmtId="3" fontId="15" fillId="0" borderId="13" xfId="0" applyNumberFormat="1" applyFont="1" applyBorder="1" applyAlignment="1">
      <alignment horizontal="right" vertical="top"/>
    </xf>
    <xf numFmtId="3" fontId="14" fillId="0" borderId="5" xfId="0" applyNumberFormat="1" applyFont="1" applyBorder="1" applyAlignment="1">
      <alignment horizontal="right" vertical="top"/>
    </xf>
    <xf numFmtId="3" fontId="15" fillId="0" borderId="12" xfId="0" applyNumberFormat="1" applyFont="1" applyBorder="1" applyAlignment="1">
      <alignment horizontal="right" vertical="top"/>
    </xf>
    <xf numFmtId="3" fontId="14" fillId="0" borderId="10" xfId="0" applyNumberFormat="1" applyFont="1" applyBorder="1" applyAlignment="1">
      <alignment horizontal="right" vertical="top"/>
    </xf>
    <xf numFmtId="3" fontId="14" fillId="0" borderId="29" xfId="0" applyNumberFormat="1" applyFont="1" applyBorder="1" applyAlignment="1">
      <alignment horizontal="right" vertical="top" wrapText="1"/>
    </xf>
    <xf numFmtId="3" fontId="15" fillId="0" borderId="30" xfId="0" applyNumberFormat="1" applyFont="1" applyBorder="1" applyAlignment="1">
      <alignment horizontal="right" vertical="top"/>
    </xf>
    <xf numFmtId="3" fontId="15" fillId="0" borderId="31" xfId="0" applyNumberFormat="1" applyFont="1" applyBorder="1" applyAlignment="1">
      <alignment horizontal="right" vertical="top"/>
    </xf>
    <xf numFmtId="3" fontId="14" fillId="0" borderId="31" xfId="0" applyNumberFormat="1" applyFont="1" applyBorder="1" applyAlignment="1">
      <alignment horizontal="right" vertical="top"/>
    </xf>
    <xf numFmtId="3" fontId="15" fillId="0" borderId="32" xfId="0" applyNumberFormat="1" applyFont="1" applyBorder="1" applyAlignment="1">
      <alignment horizontal="right" vertical="top"/>
    </xf>
    <xf numFmtId="3" fontId="14" fillId="0" borderId="30" xfId="0" applyNumberFormat="1" applyFont="1" applyBorder="1" applyAlignment="1">
      <alignment horizontal="right" vertical="top"/>
    </xf>
    <xf numFmtId="3" fontId="15" fillId="0" borderId="33" xfId="0" applyNumberFormat="1" applyFont="1" applyBorder="1" applyAlignment="1">
      <alignment horizontal="right" vertical="top"/>
    </xf>
    <xf numFmtId="3" fontId="14" fillId="0" borderId="33" xfId="0" applyNumberFormat="1" applyFont="1" applyBorder="1" applyAlignment="1">
      <alignment horizontal="right" vertical="top" wrapText="1"/>
    </xf>
    <xf numFmtId="3" fontId="14" fillId="0" borderId="29" xfId="0" applyNumberFormat="1" applyFont="1" applyBorder="1" applyAlignment="1">
      <alignment horizontal="right" vertical="top"/>
    </xf>
    <xf numFmtId="3" fontId="14" fillId="0" borderId="25" xfId="0" applyNumberFormat="1" applyFont="1" applyBorder="1" applyAlignment="1">
      <alignment horizontal="right" vertical="top"/>
    </xf>
    <xf numFmtId="3" fontId="15" fillId="0" borderId="31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3" fontId="15" fillId="0" borderId="33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5" fillId="0" borderId="3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5" fillId="0" borderId="9" xfId="0" applyNumberFormat="1" applyFont="1" applyBorder="1" applyAlignment="1">
      <alignment horizontal="right" vertical="top"/>
    </xf>
    <xf numFmtId="3" fontId="15" fillId="0" borderId="3" xfId="0" applyNumberFormat="1" applyFont="1" applyBorder="1" applyAlignment="1">
      <alignment horizontal="right" vertical="top"/>
    </xf>
    <xf numFmtId="3" fontId="15" fillId="0" borderId="29" xfId="0" applyNumberFormat="1" applyFont="1" applyBorder="1" applyAlignment="1">
      <alignment/>
    </xf>
    <xf numFmtId="3" fontId="1" fillId="0" borderId="13" xfId="0" applyNumberFormat="1" applyFont="1" applyBorder="1" applyAlignment="1">
      <alignment vertical="top"/>
    </xf>
    <xf numFmtId="3" fontId="13" fillId="0" borderId="6" xfId="0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3" fontId="1" fillId="0" borderId="6" xfId="0" applyNumberFormat="1" applyFont="1" applyBorder="1" applyAlignment="1">
      <alignment vertical="top"/>
    </xf>
    <xf numFmtId="3" fontId="15" fillId="0" borderId="33" xfId="0" applyNumberFormat="1" applyFont="1" applyBorder="1" applyAlignment="1">
      <alignment vertical="top"/>
    </xf>
    <xf numFmtId="3" fontId="15" fillId="0" borderId="30" xfId="0" applyNumberFormat="1" applyFont="1" applyBorder="1" applyAlignment="1">
      <alignment vertical="top"/>
    </xf>
    <xf numFmtId="3" fontId="1" fillId="0" borderId="9" xfId="0" applyNumberFormat="1" applyFont="1" applyBorder="1" applyAlignment="1">
      <alignment vertical="top"/>
    </xf>
    <xf numFmtId="3" fontId="15" fillId="0" borderId="34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3" fontId="15" fillId="0" borderId="32" xfId="0" applyNumberFormat="1" applyFont="1" applyBorder="1" applyAlignment="1">
      <alignment vertical="top"/>
    </xf>
    <xf numFmtId="3" fontId="8" fillId="0" borderId="35" xfId="0" applyNumberFormat="1" applyFont="1" applyBorder="1" applyAlignment="1">
      <alignment horizontal="right" vertical="top"/>
    </xf>
    <xf numFmtId="49" fontId="8" fillId="0" borderId="36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9" fontId="0" fillId="0" borderId="0" xfId="19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 applyAlignment="1">
      <alignment/>
    </xf>
    <xf numFmtId="0" fontId="8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vertical="top"/>
    </xf>
    <xf numFmtId="0" fontId="17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12" fontId="17" fillId="0" borderId="25" xfId="19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/>
    </xf>
    <xf numFmtId="0" fontId="17" fillId="0" borderId="28" xfId="0" applyFont="1" applyBorder="1" applyAlignment="1">
      <alignment horizontal="center"/>
    </xf>
    <xf numFmtId="0" fontId="17" fillId="0" borderId="28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8" fillId="3" borderId="21" xfId="0" applyFont="1" applyFill="1" applyBorder="1" applyAlignment="1" quotePrefix="1">
      <alignment horizontal="center" vertical="top"/>
    </xf>
    <xf numFmtId="0" fontId="7" fillId="3" borderId="24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vertical="top" wrapText="1"/>
    </xf>
    <xf numFmtId="3" fontId="8" fillId="3" borderId="6" xfId="0" applyNumberFormat="1" applyFont="1" applyFill="1" applyBorder="1" applyAlignment="1">
      <alignment vertical="top"/>
    </xf>
    <xf numFmtId="169" fontId="13" fillId="3" borderId="6" xfId="19" applyNumberFormat="1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7" fillId="0" borderId="21" xfId="0" applyFont="1" applyBorder="1" applyAlignment="1">
      <alignment horizontal="center" vertical="top"/>
    </xf>
    <xf numFmtId="0" fontId="7" fillId="0" borderId="21" xfId="0" applyFont="1" applyBorder="1" applyAlignment="1" quotePrefix="1">
      <alignment horizontal="center" vertical="top"/>
    </xf>
    <xf numFmtId="0" fontId="7" fillId="0" borderId="21" xfId="0" applyFont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169" fontId="6" fillId="0" borderId="1" xfId="19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horizontal="justify" vertical="justify" wrapText="1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/>
    </xf>
    <xf numFmtId="169" fontId="0" fillId="0" borderId="1" xfId="19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2" borderId="0" xfId="0" applyFont="1" applyFill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7" fillId="0" borderId="0" xfId="0" applyFont="1" applyBorder="1" applyAlignment="1">
      <alignment/>
    </xf>
    <xf numFmtId="3" fontId="8" fillId="2" borderId="1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3" fontId="4" fillId="0" borderId="37" xfId="0" applyNumberFormat="1" applyFont="1" applyBorder="1" applyAlignment="1">
      <alignment vertical="top"/>
    </xf>
    <xf numFmtId="0" fontId="8" fillId="3" borderId="38" xfId="0" applyFont="1" applyFill="1" applyBorder="1" applyAlignment="1" quotePrefix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vertical="top" wrapText="1"/>
    </xf>
    <xf numFmtId="3" fontId="8" fillId="3" borderId="5" xfId="0" applyNumberFormat="1" applyFont="1" applyFill="1" applyBorder="1" applyAlignment="1">
      <alignment vertical="top"/>
    </xf>
    <xf numFmtId="169" fontId="13" fillId="3" borderId="5" xfId="19" applyNumberFormat="1" applyFont="1" applyFill="1" applyBorder="1" applyAlignment="1">
      <alignment horizontal="center" vertical="top"/>
    </xf>
    <xf numFmtId="169" fontId="13" fillId="0" borderId="1" xfId="19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vertical="top"/>
    </xf>
    <xf numFmtId="169" fontId="0" fillId="0" borderId="3" xfId="19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8" fillId="3" borderId="38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39" xfId="0" applyFont="1" applyBorder="1" applyAlignment="1">
      <alignment vertical="top" wrapText="1"/>
    </xf>
    <xf numFmtId="3" fontId="7" fillId="0" borderId="40" xfId="0" applyNumberFormat="1" applyFont="1" applyBorder="1" applyAlignment="1">
      <alignment vertical="top"/>
    </xf>
    <xf numFmtId="169" fontId="13" fillId="0" borderId="40" xfId="19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/>
    </xf>
    <xf numFmtId="0" fontId="4" fillId="3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0" fillId="0" borderId="41" xfId="0" applyFont="1" applyBorder="1" applyAlignment="1">
      <alignment vertical="top" wrapText="1"/>
    </xf>
    <xf numFmtId="169" fontId="0" fillId="0" borderId="37" xfId="19" applyNumberFormat="1" applyFont="1" applyBorder="1" applyAlignment="1">
      <alignment horizontal="center" vertical="top"/>
    </xf>
    <xf numFmtId="0" fontId="19" fillId="2" borderId="21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/>
    </xf>
    <xf numFmtId="3" fontId="4" fillId="3" borderId="1" xfId="0" applyNumberFormat="1" applyFont="1" applyFill="1" applyBorder="1" applyAlignment="1">
      <alignment vertical="top"/>
    </xf>
    <xf numFmtId="0" fontId="1" fillId="0" borderId="21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top"/>
    </xf>
    <xf numFmtId="0" fontId="7" fillId="0" borderId="42" xfId="0" applyFont="1" applyBorder="1" applyAlignment="1">
      <alignment vertical="top" wrapText="1"/>
    </xf>
    <xf numFmtId="3" fontId="7" fillId="0" borderId="43" xfId="0" applyNumberFormat="1" applyFont="1" applyBorder="1" applyAlignment="1">
      <alignment vertical="top"/>
    </xf>
    <xf numFmtId="169" fontId="13" fillId="0" borderId="43" xfId="19" applyNumberFormat="1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10" fontId="0" fillId="0" borderId="1" xfId="19" applyNumberFormat="1" applyFont="1" applyBorder="1" applyAlignment="1">
      <alignment horizontal="center" vertical="top"/>
    </xf>
    <xf numFmtId="0" fontId="7" fillId="3" borderId="9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vertical="top" wrapText="1"/>
    </xf>
    <xf numFmtId="3" fontId="7" fillId="3" borderId="5" xfId="0" applyNumberFormat="1" applyFont="1" applyFill="1" applyBorder="1" applyAlignment="1">
      <alignment vertical="top"/>
    </xf>
    <xf numFmtId="169" fontId="6" fillId="3" borderId="5" xfId="19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169" fontId="0" fillId="2" borderId="1" xfId="19" applyNumberFormat="1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4" fillId="2" borderId="37" xfId="0" applyFont="1" applyFill="1" applyBorder="1" applyAlignment="1">
      <alignment vertical="top" wrapText="1"/>
    </xf>
    <xf numFmtId="3" fontId="4" fillId="2" borderId="37" xfId="0" applyNumberFormat="1" applyFont="1" applyFill="1" applyBorder="1" applyAlignment="1">
      <alignment vertical="top"/>
    </xf>
    <xf numFmtId="3" fontId="7" fillId="2" borderId="37" xfId="0" applyNumberFormat="1" applyFont="1" applyFill="1" applyBorder="1" applyAlignment="1">
      <alignment vertical="top"/>
    </xf>
    <xf numFmtId="0" fontId="8" fillId="3" borderId="5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8" fillId="2" borderId="40" xfId="0" applyFont="1" applyFill="1" applyBorder="1" applyAlignment="1">
      <alignment horizontal="center" vertical="top"/>
    </xf>
    <xf numFmtId="0" fontId="13" fillId="2" borderId="2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3" fontId="0" fillId="2" borderId="1" xfId="0" applyNumberFormat="1" applyFont="1" applyFill="1" applyBorder="1" applyAlignment="1">
      <alignment vertical="top"/>
    </xf>
    <xf numFmtId="3" fontId="6" fillId="2" borderId="1" xfId="0" applyNumberFormat="1" applyFont="1" applyFill="1" applyBorder="1" applyAlignment="1">
      <alignment vertical="top"/>
    </xf>
    <xf numFmtId="169" fontId="6" fillId="2" borderId="1" xfId="19" applyNumberFormat="1" applyFont="1" applyFill="1" applyBorder="1" applyAlignment="1">
      <alignment horizontal="center" vertical="top"/>
    </xf>
    <xf numFmtId="0" fontId="1" fillId="2" borderId="21" xfId="0" applyFont="1" applyFill="1" applyBorder="1" applyAlignment="1">
      <alignment vertical="top" wrapText="1"/>
    </xf>
    <xf numFmtId="0" fontId="8" fillId="2" borderId="21" xfId="0" applyFont="1" applyFill="1" applyBorder="1" applyAlignment="1">
      <alignment horizontal="center" vertical="top"/>
    </xf>
    <xf numFmtId="169" fontId="6" fillId="0" borderId="43" xfId="19" applyNumberFormat="1" applyFont="1" applyBorder="1" applyAlignment="1">
      <alignment horizontal="center" vertical="top"/>
    </xf>
    <xf numFmtId="0" fontId="4" fillId="0" borderId="4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4" fillId="0" borderId="44" xfId="0" applyFont="1" applyBorder="1" applyAlignment="1">
      <alignment horizontal="center" vertical="top"/>
    </xf>
    <xf numFmtId="0" fontId="4" fillId="0" borderId="44" xfId="0" applyFont="1" applyBorder="1" applyAlignment="1">
      <alignment vertical="top" wrapText="1"/>
    </xf>
    <xf numFmtId="3" fontId="4" fillId="0" borderId="45" xfId="0" applyNumberFormat="1" applyFont="1" applyBorder="1" applyAlignment="1">
      <alignment vertical="top"/>
    </xf>
    <xf numFmtId="169" fontId="0" fillId="0" borderId="45" xfId="19" applyNumberFormat="1" applyFont="1" applyBorder="1" applyAlignment="1">
      <alignment horizontal="center" vertical="top"/>
    </xf>
    <xf numFmtId="169" fontId="7" fillId="0" borderId="1" xfId="19" applyNumberFormat="1" applyFont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/>
    </xf>
    <xf numFmtId="3" fontId="0" fillId="0" borderId="3" xfId="0" applyNumberFormat="1" applyFill="1" applyBorder="1" applyAlignment="1">
      <alignment vertical="top"/>
    </xf>
    <xf numFmtId="169" fontId="4" fillId="0" borderId="3" xfId="19" applyNumberFormat="1" applyFont="1" applyBorder="1" applyAlignment="1">
      <alignment horizontal="center" vertical="top"/>
    </xf>
    <xf numFmtId="0" fontId="7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3" fontId="7" fillId="4" borderId="6" xfId="0" applyNumberFormat="1" applyFont="1" applyFill="1" applyBorder="1" applyAlignment="1">
      <alignment vertical="top"/>
    </xf>
    <xf numFmtId="169" fontId="6" fillId="4" borderId="6" xfId="19" applyNumberFormat="1" applyFont="1" applyFill="1" applyBorder="1" applyAlignment="1">
      <alignment vertical="top"/>
    </xf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0" borderId="40" xfId="0" applyFill="1" applyBorder="1" applyAlignment="1">
      <alignment vertical="top"/>
    </xf>
    <xf numFmtId="0" fontId="13" fillId="0" borderId="40" xfId="0" applyFont="1" applyFill="1" applyBorder="1" applyAlignment="1">
      <alignment vertical="top"/>
    </xf>
    <xf numFmtId="0" fontId="13" fillId="0" borderId="40" xfId="0" applyFont="1" applyFill="1" applyBorder="1" applyAlignment="1">
      <alignment vertical="top" wrapText="1"/>
    </xf>
    <xf numFmtId="3" fontId="13" fillId="0" borderId="40" xfId="0" applyNumberFormat="1" applyFont="1" applyFill="1" applyBorder="1" applyAlignment="1">
      <alignment vertical="top"/>
    </xf>
    <xf numFmtId="3" fontId="6" fillId="0" borderId="40" xfId="0" applyNumberFormat="1" applyFont="1" applyFill="1" applyBorder="1" applyAlignment="1">
      <alignment vertical="top"/>
    </xf>
    <xf numFmtId="169" fontId="6" fillId="2" borderId="40" xfId="19" applyNumberFormat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3" fontId="0" fillId="0" borderId="1" xfId="0" applyNumberFormat="1" applyFill="1" applyBorder="1" applyAlignment="1">
      <alignment vertical="top"/>
    </xf>
    <xf numFmtId="169" fontId="0" fillId="2" borderId="37" xfId="19" applyNumberFormat="1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 wrapText="1"/>
    </xf>
    <xf numFmtId="3" fontId="7" fillId="4" borderId="12" xfId="0" applyNumberFormat="1" applyFont="1" applyFill="1" applyBorder="1" applyAlignment="1">
      <alignment vertical="top"/>
    </xf>
    <xf numFmtId="169" fontId="7" fillId="4" borderId="12" xfId="19" applyNumberFormat="1" applyFont="1" applyFill="1" applyBorder="1" applyAlignment="1">
      <alignment vertical="top"/>
    </xf>
    <xf numFmtId="0" fontId="6" fillId="0" borderId="40" xfId="0" applyFont="1" applyFill="1" applyBorder="1" applyAlignment="1">
      <alignment vertical="top"/>
    </xf>
    <xf numFmtId="169" fontId="13" fillId="0" borderId="40" xfId="19" applyNumberFormat="1" applyFont="1" applyFill="1" applyBorder="1" applyAlignment="1">
      <alignment vertical="top"/>
    </xf>
    <xf numFmtId="169" fontId="0" fillId="0" borderId="1" xfId="19" applyNumberFormat="1" applyFont="1" applyFill="1" applyBorder="1" applyAlignment="1">
      <alignment vertical="top"/>
    </xf>
    <xf numFmtId="0" fontId="0" fillId="0" borderId="37" xfId="0" applyFill="1" applyBorder="1" applyAlignment="1">
      <alignment vertical="top"/>
    </xf>
    <xf numFmtId="0" fontId="0" fillId="0" borderId="37" xfId="0" applyFill="1" applyBorder="1" applyAlignment="1">
      <alignment vertical="top" wrapText="1"/>
    </xf>
    <xf numFmtId="3" fontId="0" fillId="0" borderId="37" xfId="0" applyNumberFormat="1" applyFill="1" applyBorder="1" applyAlignment="1">
      <alignment vertical="top"/>
    </xf>
    <xf numFmtId="169" fontId="0" fillId="0" borderId="37" xfId="19" applyNumberFormat="1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2" borderId="0" xfId="0" applyFont="1" applyFill="1" applyAlignment="1">
      <alignment/>
    </xf>
    <xf numFmtId="0" fontId="13" fillId="0" borderId="43" xfId="0" applyFont="1" applyFill="1" applyBorder="1" applyAlignment="1">
      <alignment vertical="top"/>
    </xf>
    <xf numFmtId="0" fontId="13" fillId="0" borderId="43" xfId="0" applyFont="1" applyFill="1" applyBorder="1" applyAlignment="1">
      <alignment vertical="top" wrapText="1"/>
    </xf>
    <xf numFmtId="3" fontId="13" fillId="0" borderId="43" xfId="0" applyNumberFormat="1" applyFont="1" applyFill="1" applyBorder="1" applyAlignment="1">
      <alignment vertical="top"/>
    </xf>
    <xf numFmtId="169" fontId="13" fillId="0" borderId="43" xfId="19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4" fillId="0" borderId="0" xfId="0" applyFont="1" applyAlignment="1">
      <alignment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vertical="top"/>
    </xf>
    <xf numFmtId="169" fontId="13" fillId="0" borderId="1" xfId="19" applyNumberFormat="1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6" xfId="0" applyFill="1" applyBorder="1" applyAlignment="1">
      <alignment vertical="top" wrapText="1"/>
    </xf>
    <xf numFmtId="3" fontId="0" fillId="0" borderId="6" xfId="0" applyNumberFormat="1" applyFill="1" applyBorder="1" applyAlignment="1">
      <alignment vertical="top"/>
    </xf>
    <xf numFmtId="169" fontId="0" fillId="0" borderId="6" xfId="19" applyNumberFormat="1" applyFont="1" applyFill="1" applyBorder="1" applyAlignment="1">
      <alignment vertical="top"/>
    </xf>
    <xf numFmtId="0" fontId="7" fillId="4" borderId="46" xfId="0" applyFont="1" applyFill="1" applyBorder="1" applyAlignment="1">
      <alignment vertical="top"/>
    </xf>
    <xf numFmtId="0" fontId="7" fillId="4" borderId="46" xfId="0" applyFont="1" applyFill="1" applyBorder="1" applyAlignment="1">
      <alignment vertical="top" wrapText="1"/>
    </xf>
    <xf numFmtId="3" fontId="7" fillId="4" borderId="46" xfId="0" applyNumberFormat="1" applyFont="1" applyFill="1" applyBorder="1" applyAlignment="1">
      <alignment vertical="top"/>
    </xf>
    <xf numFmtId="169" fontId="13" fillId="4" borderId="46" xfId="19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7" fillId="2" borderId="43" xfId="0" applyFont="1" applyFill="1" applyBorder="1" applyAlignment="1">
      <alignment vertical="top"/>
    </xf>
    <xf numFmtId="0" fontId="7" fillId="2" borderId="43" xfId="0" applyFont="1" applyFill="1" applyBorder="1" applyAlignment="1">
      <alignment vertical="top" wrapText="1"/>
    </xf>
    <xf numFmtId="3" fontId="7" fillId="2" borderId="43" xfId="0" applyNumberFormat="1" applyFont="1" applyFill="1" applyBorder="1" applyAlignment="1">
      <alignment vertical="top"/>
    </xf>
    <xf numFmtId="3" fontId="7" fillId="2" borderId="47" xfId="0" applyNumberFormat="1" applyFont="1" applyFill="1" applyBorder="1" applyAlignment="1">
      <alignment vertical="top"/>
    </xf>
    <xf numFmtId="0" fontId="7" fillId="2" borderId="37" xfId="0" applyFont="1" applyFill="1" applyBorder="1" applyAlignment="1">
      <alignment vertical="top"/>
    </xf>
    <xf numFmtId="0" fontId="0" fillId="2" borderId="37" xfId="0" applyFont="1" applyFill="1" applyBorder="1" applyAlignment="1">
      <alignment vertical="top" wrapText="1"/>
    </xf>
    <xf numFmtId="3" fontId="0" fillId="2" borderId="37" xfId="0" applyNumberFormat="1" applyFont="1" applyFill="1" applyBorder="1" applyAlignment="1">
      <alignment vertical="top"/>
    </xf>
    <xf numFmtId="3" fontId="7" fillId="2" borderId="46" xfId="0" applyNumberFormat="1" applyFont="1" applyFill="1" applyBorder="1" applyAlignment="1">
      <alignment vertical="top"/>
    </xf>
    <xf numFmtId="0" fontId="7" fillId="2" borderId="21" xfId="0" applyFont="1" applyFill="1" applyBorder="1" applyAlignment="1">
      <alignment vertical="top"/>
    </xf>
    <xf numFmtId="169" fontId="7" fillId="0" borderId="1" xfId="19" applyNumberFormat="1" applyFont="1" applyFill="1" applyBorder="1" applyAlignment="1">
      <alignment vertical="top"/>
    </xf>
    <xf numFmtId="0" fontId="0" fillId="2" borderId="21" xfId="0" applyFont="1" applyFill="1" applyBorder="1" applyAlignment="1">
      <alignment vertical="top" wrapText="1"/>
    </xf>
    <xf numFmtId="0" fontId="7" fillId="2" borderId="41" xfId="0" applyFont="1" applyFill="1" applyBorder="1" applyAlignment="1">
      <alignment vertical="top"/>
    </xf>
    <xf numFmtId="0" fontId="0" fillId="2" borderId="41" xfId="0" applyFont="1" applyFill="1" applyBorder="1" applyAlignment="1">
      <alignment vertical="top" wrapText="1"/>
    </xf>
    <xf numFmtId="3" fontId="13" fillId="0" borderId="1" xfId="0" applyNumberFormat="1" applyFont="1" applyBorder="1" applyAlignment="1">
      <alignment vertical="top"/>
    </xf>
    <xf numFmtId="169" fontId="0" fillId="0" borderId="37" xfId="19" applyNumberFormat="1" applyFont="1" applyFill="1" applyBorder="1" applyAlignment="1">
      <alignment vertical="top"/>
    </xf>
    <xf numFmtId="169" fontId="0" fillId="0" borderId="1" xfId="19" applyNumberFormat="1" applyFont="1" applyFill="1" applyBorder="1" applyAlignment="1">
      <alignment vertical="top"/>
    </xf>
    <xf numFmtId="3" fontId="1" fillId="0" borderId="43" xfId="0" applyNumberFormat="1" applyFont="1" applyFill="1" applyBorder="1" applyAlignment="1">
      <alignment vertical="top"/>
    </xf>
    <xf numFmtId="169" fontId="6" fillId="0" borderId="43" xfId="19" applyNumberFormat="1" applyFont="1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/>
    </xf>
    <xf numFmtId="0" fontId="0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20" fillId="3" borderId="4" xfId="0" applyFont="1" applyFill="1" applyBorder="1" applyAlignment="1">
      <alignment vertical="top"/>
    </xf>
    <xf numFmtId="0" fontId="21" fillId="3" borderId="4" xfId="0" applyFont="1" applyFill="1" applyBorder="1" applyAlignment="1">
      <alignment vertical="top"/>
    </xf>
    <xf numFmtId="0" fontId="22" fillId="3" borderId="4" xfId="0" applyFont="1" applyFill="1" applyBorder="1" applyAlignment="1">
      <alignment vertical="top" wrapText="1"/>
    </xf>
    <xf numFmtId="3" fontId="19" fillId="3" borderId="5" xfId="0" applyNumberFormat="1" applyFont="1" applyFill="1" applyBorder="1" applyAlignment="1">
      <alignment vertical="top"/>
    </xf>
    <xf numFmtId="3" fontId="23" fillId="3" borderId="5" xfId="0" applyNumberFormat="1" applyFont="1" applyFill="1" applyBorder="1" applyAlignment="1">
      <alignment vertical="top"/>
    </xf>
    <xf numFmtId="3" fontId="21" fillId="3" borderId="5" xfId="0" applyNumberFormat="1" applyFont="1" applyFill="1" applyBorder="1" applyAlignment="1">
      <alignment vertical="top"/>
    </xf>
    <xf numFmtId="169" fontId="7" fillId="3" borderId="5" xfId="19" applyNumberFormat="1" applyFont="1" applyFill="1" applyBorder="1" applyAlignment="1">
      <alignment horizontal="center" vertical="top"/>
    </xf>
    <xf numFmtId="0" fontId="13" fillId="0" borderId="21" xfId="0" applyFont="1" applyFill="1" applyBorder="1" applyAlignment="1">
      <alignment vertical="top"/>
    </xf>
    <xf numFmtId="3" fontId="7" fillId="0" borderId="43" xfId="0" applyNumberFormat="1" applyFont="1" applyBorder="1" applyAlignment="1">
      <alignment horizontal="right" vertical="top"/>
    </xf>
    <xf numFmtId="0" fontId="4" fillId="0" borderId="24" xfId="0" applyFont="1" applyBorder="1" applyAlignment="1">
      <alignment vertical="top" wrapText="1"/>
    </xf>
    <xf numFmtId="3" fontId="4" fillId="0" borderId="6" xfId="0" applyNumberFormat="1" applyFont="1" applyBorder="1" applyAlignment="1">
      <alignment vertical="top"/>
    </xf>
    <xf numFmtId="0" fontId="7" fillId="0" borderId="40" xfId="0" applyFont="1" applyBorder="1" applyAlignment="1">
      <alignment horizontal="center" vertical="top"/>
    </xf>
    <xf numFmtId="0" fontId="1" fillId="0" borderId="48" xfId="0" applyFont="1" applyBorder="1" applyAlignment="1">
      <alignment vertical="top" wrapText="1"/>
    </xf>
    <xf numFmtId="0" fontId="1" fillId="0" borderId="49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4" fillId="0" borderId="21" xfId="0" applyFont="1" applyBorder="1" applyAlignment="1">
      <alignment vertical="top" wrapText="1"/>
    </xf>
    <xf numFmtId="169" fontId="4" fillId="0" borderId="1" xfId="19" applyNumberFormat="1" applyFont="1" applyBorder="1" applyAlignment="1">
      <alignment horizontal="center" vertical="top"/>
    </xf>
    <xf numFmtId="0" fontId="0" fillId="2" borderId="21" xfId="0" applyNumberFormat="1" applyFont="1" applyFill="1" applyBorder="1" applyAlignment="1">
      <alignment vertical="top"/>
    </xf>
    <xf numFmtId="0" fontId="7" fillId="2" borderId="42" xfId="0" applyNumberFormat="1" applyFont="1" applyFill="1" applyBorder="1" applyAlignment="1">
      <alignment vertical="top"/>
    </xf>
    <xf numFmtId="0" fontId="7" fillId="2" borderId="40" xfId="0" applyNumberFormat="1" applyFont="1" applyFill="1" applyBorder="1" applyAlignment="1">
      <alignment vertical="top" wrapText="1"/>
    </xf>
    <xf numFmtId="169" fontId="13" fillId="2" borderId="43" xfId="19" applyNumberFormat="1" applyFont="1" applyFill="1" applyBorder="1" applyAlignment="1">
      <alignment horizontal="center" vertical="top"/>
    </xf>
    <xf numFmtId="0" fontId="0" fillId="0" borderId="21" xfId="0" applyNumberFormat="1" applyFont="1" applyBorder="1" applyAlignment="1">
      <alignment vertical="top"/>
    </xf>
    <xf numFmtId="0" fontId="4" fillId="0" borderId="21" xfId="0" applyNumberFormat="1" applyFont="1" applyBorder="1" applyAlignment="1">
      <alignment vertical="top"/>
    </xf>
    <xf numFmtId="0" fontId="4" fillId="0" borderId="21" xfId="0" applyNumberFormat="1" applyFont="1" applyBorder="1" applyAlignment="1">
      <alignment vertical="top" wrapText="1"/>
    </xf>
    <xf numFmtId="0" fontId="0" fillId="0" borderId="41" xfId="0" applyFont="1" applyBorder="1" applyAlignment="1">
      <alignment horizontal="center" vertical="top"/>
    </xf>
    <xf numFmtId="3" fontId="0" fillId="0" borderId="41" xfId="0" applyNumberFormat="1" applyFont="1" applyBorder="1" applyAlignment="1">
      <alignment vertical="top"/>
    </xf>
    <xf numFmtId="3" fontId="0" fillId="0" borderId="37" xfId="0" applyNumberFormat="1" applyFont="1" applyBorder="1" applyAlignment="1">
      <alignment vertical="top"/>
    </xf>
    <xf numFmtId="0" fontId="7" fillId="0" borderId="21" xfId="0" applyFont="1" applyBorder="1" applyAlignment="1">
      <alignment horizontal="left" vertical="top"/>
    </xf>
    <xf numFmtId="3" fontId="7" fillId="0" borderId="2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/>
    </xf>
    <xf numFmtId="0" fontId="4" fillId="0" borderId="41" xfId="0" applyFont="1" applyBorder="1" applyAlignment="1">
      <alignment horizontal="left" vertical="top"/>
    </xf>
    <xf numFmtId="169" fontId="13" fillId="3" borderId="9" xfId="19" applyNumberFormat="1" applyFont="1" applyFill="1" applyBorder="1" applyAlignment="1">
      <alignment horizontal="center" vertical="top"/>
    </xf>
    <xf numFmtId="0" fontId="7" fillId="2" borderId="39" xfId="0" applyFont="1" applyFill="1" applyBorder="1" applyAlignment="1">
      <alignment horizontal="center" vertical="top"/>
    </xf>
    <xf numFmtId="0" fontId="7" fillId="2" borderId="39" xfId="0" applyFont="1" applyFill="1" applyBorder="1" applyAlignment="1">
      <alignment vertical="top" wrapText="1"/>
    </xf>
    <xf numFmtId="3" fontId="8" fillId="2" borderId="40" xfId="0" applyNumberFormat="1" applyFont="1" applyFill="1" applyBorder="1" applyAlignment="1">
      <alignment vertical="top"/>
    </xf>
    <xf numFmtId="169" fontId="6" fillId="0" borderId="40" xfId="19" applyNumberFormat="1" applyFont="1" applyBorder="1" applyAlignment="1">
      <alignment horizontal="center" vertical="top"/>
    </xf>
    <xf numFmtId="0" fontId="4" fillId="2" borderId="2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/>
    </xf>
    <xf numFmtId="0" fontId="7" fillId="2" borderId="42" xfId="0" applyFont="1" applyFill="1" applyBorder="1" applyAlignment="1">
      <alignment horizontal="center" vertical="top"/>
    </xf>
    <xf numFmtId="0" fontId="7" fillId="2" borderId="42" xfId="0" applyFont="1" applyFill="1" applyBorder="1" applyAlignment="1">
      <alignment vertical="top" wrapText="1"/>
    </xf>
    <xf numFmtId="3" fontId="13" fillId="2" borderId="43" xfId="0" applyNumberFormat="1" applyFont="1" applyFill="1" applyBorder="1" applyAlignment="1">
      <alignment vertical="top"/>
    </xf>
    <xf numFmtId="3" fontId="8" fillId="2" borderId="43" xfId="0" applyNumberFormat="1" applyFont="1" applyFill="1" applyBorder="1" applyAlignment="1">
      <alignment vertical="top"/>
    </xf>
    <xf numFmtId="0" fontId="25" fillId="0" borderId="42" xfId="0" applyFont="1" applyBorder="1" applyAlignment="1">
      <alignment vertical="top" wrapText="1"/>
    </xf>
    <xf numFmtId="169" fontId="13" fillId="2" borderId="40" xfId="19" applyNumberFormat="1" applyFont="1" applyFill="1" applyBorder="1" applyAlignment="1">
      <alignment horizontal="center" vertical="top"/>
    </xf>
    <xf numFmtId="0" fontId="11" fillId="0" borderId="21" xfId="0" applyFont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/>
    </xf>
    <xf numFmtId="3" fontId="4" fillId="2" borderId="1" xfId="0" applyNumberFormat="1" applyFont="1" applyFill="1" applyBorder="1" applyAlignment="1">
      <alignment vertical="top"/>
    </xf>
    <xf numFmtId="169" fontId="1" fillId="2" borderId="6" xfId="19" applyNumberFormat="1" applyFont="1" applyFill="1" applyBorder="1" applyAlignment="1">
      <alignment horizontal="center" vertical="top"/>
    </xf>
    <xf numFmtId="169" fontId="1" fillId="2" borderId="6" xfId="19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justify" wrapText="1"/>
    </xf>
    <xf numFmtId="0" fontId="0" fillId="0" borderId="0" xfId="0" applyFont="1" applyBorder="1" applyAlignment="1">
      <alignment vertical="justify" wrapText="1"/>
    </xf>
    <xf numFmtId="0" fontId="0" fillId="2" borderId="0" xfId="0" applyFont="1" applyFill="1" applyBorder="1" applyAlignment="1">
      <alignment vertical="top" wrapText="1"/>
    </xf>
    <xf numFmtId="3" fontId="8" fillId="3" borderId="9" xfId="0" applyNumberFormat="1" applyFont="1" applyFill="1" applyBorder="1" applyAlignment="1">
      <alignment vertical="top"/>
    </xf>
    <xf numFmtId="3" fontId="7" fillId="2" borderId="40" xfId="0" applyNumberFormat="1" applyFont="1" applyFill="1" applyBorder="1" applyAlignment="1">
      <alignment vertical="top"/>
    </xf>
    <xf numFmtId="3" fontId="0" fillId="0" borderId="6" xfId="0" applyNumberFormat="1" applyFont="1" applyBorder="1" applyAlignment="1">
      <alignment vertical="top"/>
    </xf>
    <xf numFmtId="169" fontId="0" fillId="0" borderId="6" xfId="19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8" fillId="3" borderId="21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0" fillId="0" borderId="51" xfId="0" applyFont="1" applyBorder="1" applyAlignment="1">
      <alignment vertical="top" wrapText="1"/>
    </xf>
    <xf numFmtId="3" fontId="0" fillId="0" borderId="50" xfId="0" applyNumberFormat="1" applyFont="1" applyBorder="1" applyAlignment="1">
      <alignment vertical="top"/>
    </xf>
    <xf numFmtId="169" fontId="0" fillId="0" borderId="50" xfId="19" applyNumberFormat="1" applyFont="1" applyBorder="1" applyAlignment="1">
      <alignment horizontal="center" vertical="top"/>
    </xf>
    <xf numFmtId="3" fontId="8" fillId="3" borderId="5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 wrapText="1"/>
    </xf>
    <xf numFmtId="3" fontId="13" fillId="0" borderId="0" xfId="0" applyNumberFormat="1" applyFont="1" applyBorder="1" applyAlignment="1">
      <alignment vertical="top"/>
    </xf>
    <xf numFmtId="9" fontId="6" fillId="0" borderId="0" xfId="19" applyFont="1" applyBorder="1" applyAlignment="1">
      <alignment horizontal="center" vertical="top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0" fillId="3" borderId="0" xfId="0" applyFont="1" applyFill="1" applyAlignment="1">
      <alignment vertical="top" wrapText="1"/>
    </xf>
    <xf numFmtId="0" fontId="0" fillId="3" borderId="0" xfId="0" applyFont="1" applyFill="1" applyAlignment="1">
      <alignment/>
    </xf>
    <xf numFmtId="0" fontId="6" fillId="0" borderId="0" xfId="0" applyFont="1" applyAlignment="1">
      <alignment vertical="top" wrapText="1"/>
    </xf>
    <xf numFmtId="0" fontId="6" fillId="2" borderId="0" xfId="0" applyFont="1" applyFill="1" applyAlignment="1">
      <alignment/>
    </xf>
    <xf numFmtId="3" fontId="0" fillId="0" borderId="1" xfId="0" applyNumberFormat="1" applyFont="1" applyBorder="1" applyAlignment="1">
      <alignment vertical="center"/>
    </xf>
    <xf numFmtId="169" fontId="0" fillId="0" borderId="1" xfId="19" applyNumberFormat="1" applyFont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top"/>
    </xf>
    <xf numFmtId="0" fontId="8" fillId="3" borderId="53" xfId="0" applyFont="1" applyFill="1" applyBorder="1" applyAlignment="1">
      <alignment vertical="top" wrapText="1"/>
    </xf>
    <xf numFmtId="3" fontId="8" fillId="3" borderId="53" xfId="0" applyNumberFormat="1" applyFont="1" applyFill="1" applyBorder="1" applyAlignment="1">
      <alignment vertical="top"/>
    </xf>
    <xf numFmtId="169" fontId="13" fillId="3" borderId="53" xfId="19" applyNumberFormat="1" applyFont="1" applyFill="1" applyBorder="1" applyAlignment="1">
      <alignment horizontal="center" vertical="top"/>
    </xf>
    <xf numFmtId="0" fontId="8" fillId="3" borderId="0" xfId="0" applyFont="1" applyFill="1" applyAlignment="1">
      <alignment vertical="top" wrapText="1"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0" borderId="2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3" fontId="4" fillId="0" borderId="1" xfId="0" applyNumberFormat="1" applyFont="1" applyBorder="1" applyAlignment="1">
      <alignment vertical="top"/>
    </xf>
    <xf numFmtId="0" fontId="7" fillId="0" borderId="41" xfId="0" applyFont="1" applyBorder="1" applyAlignment="1">
      <alignment horizontal="center" vertical="top"/>
    </xf>
    <xf numFmtId="3" fontId="0" fillId="0" borderId="37" xfId="0" applyNumberFormat="1" applyFont="1" applyBorder="1" applyAlignment="1">
      <alignment vertical="center"/>
    </xf>
    <xf numFmtId="169" fontId="0" fillId="0" borderId="37" xfId="19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169" fontId="7" fillId="0" borderId="1" xfId="19" applyNumberFormat="1" applyFont="1" applyBorder="1" applyAlignment="1">
      <alignment horizontal="center" vertical="center"/>
    </xf>
    <xf numFmtId="169" fontId="0" fillId="0" borderId="6" xfId="19" applyNumberFormat="1" applyFont="1" applyBorder="1" applyAlignment="1">
      <alignment horizontal="center" vertical="center"/>
    </xf>
    <xf numFmtId="0" fontId="8" fillId="3" borderId="5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0" fontId="8" fillId="3" borderId="53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/>
    </xf>
    <xf numFmtId="0" fontId="27" fillId="2" borderId="21" xfId="0" applyFont="1" applyFill="1" applyBorder="1" applyAlignment="1">
      <alignment horizontal="center" vertical="top"/>
    </xf>
    <xf numFmtId="0" fontId="22" fillId="2" borderId="21" xfId="0" applyFont="1" applyFill="1" applyBorder="1" applyAlignment="1">
      <alignment vertical="top" wrapText="1"/>
    </xf>
    <xf numFmtId="3" fontId="22" fillId="2" borderId="1" xfId="0" applyNumberFormat="1" applyFont="1" applyFill="1" applyBorder="1" applyAlignment="1">
      <alignment vertical="top"/>
    </xf>
    <xf numFmtId="3" fontId="21" fillId="2" borderId="1" xfId="0" applyNumberFormat="1" applyFont="1" applyFill="1" applyBorder="1" applyAlignment="1">
      <alignment vertical="top"/>
    </xf>
    <xf numFmtId="169" fontId="13" fillId="2" borderId="1" xfId="19" applyNumberFormat="1" applyFont="1" applyFill="1" applyBorder="1" applyAlignment="1">
      <alignment horizontal="center" vertical="top"/>
    </xf>
    <xf numFmtId="0" fontId="26" fillId="3" borderId="0" xfId="0" applyFont="1" applyFill="1" applyAlignment="1">
      <alignment vertical="top" wrapText="1"/>
    </xf>
    <xf numFmtId="0" fontId="26" fillId="2" borderId="0" xfId="0" applyFont="1" applyFill="1" applyAlignment="1">
      <alignment/>
    </xf>
    <xf numFmtId="0" fontId="26" fillId="3" borderId="0" xfId="0" applyFont="1" applyFill="1" applyAlignment="1">
      <alignment/>
    </xf>
    <xf numFmtId="0" fontId="26" fillId="2" borderId="21" xfId="0" applyFont="1" applyFill="1" applyBorder="1" applyAlignment="1">
      <alignment horizontal="center" vertical="top"/>
    </xf>
    <xf numFmtId="0" fontId="28" fillId="2" borderId="21" xfId="0" applyFont="1" applyFill="1" applyBorder="1" applyAlignment="1">
      <alignment vertical="top" wrapText="1"/>
    </xf>
    <xf numFmtId="169" fontId="1" fillId="2" borderId="1" xfId="19" applyNumberFormat="1" applyFont="1" applyFill="1" applyBorder="1" applyAlignment="1">
      <alignment horizontal="center" vertical="top"/>
    </xf>
    <xf numFmtId="169" fontId="21" fillId="2" borderId="1" xfId="19" applyNumberFormat="1" applyFont="1" applyFill="1" applyBorder="1" applyAlignment="1">
      <alignment horizontal="center" vertical="top"/>
    </xf>
    <xf numFmtId="0" fontId="21" fillId="2" borderId="21" xfId="0" applyFont="1" applyFill="1" applyBorder="1" applyAlignment="1">
      <alignment vertical="top" wrapText="1"/>
    </xf>
    <xf numFmtId="0" fontId="26" fillId="2" borderId="41" xfId="0" applyFont="1" applyFill="1" applyBorder="1" applyAlignment="1">
      <alignment horizontal="center" vertical="top"/>
    </xf>
    <xf numFmtId="0" fontId="28" fillId="2" borderId="41" xfId="0" applyFont="1" applyFill="1" applyBorder="1" applyAlignment="1">
      <alignment vertical="top" wrapText="1"/>
    </xf>
    <xf numFmtId="3" fontId="21" fillId="2" borderId="37" xfId="0" applyNumberFormat="1" applyFont="1" applyFill="1" applyBorder="1" applyAlignment="1">
      <alignment vertical="top"/>
    </xf>
    <xf numFmtId="169" fontId="1" fillId="2" borderId="37" xfId="19" applyNumberFormat="1" applyFont="1" applyFill="1" applyBorder="1" applyAlignment="1">
      <alignment horizontal="center" vertical="top"/>
    </xf>
    <xf numFmtId="0" fontId="6" fillId="2" borderId="21" xfId="0" applyFont="1" applyFill="1" applyBorder="1" applyAlignment="1">
      <alignment vertical="top" wrapText="1"/>
    </xf>
    <xf numFmtId="0" fontId="17" fillId="2" borderId="21" xfId="0" applyFont="1" applyFill="1" applyBorder="1" applyAlignment="1">
      <alignment vertical="top" wrapText="1"/>
    </xf>
    <xf numFmtId="0" fontId="8" fillId="2" borderId="41" xfId="0" applyFont="1" applyFill="1" applyBorder="1" applyAlignment="1">
      <alignment horizontal="center" vertical="top"/>
    </xf>
    <xf numFmtId="0" fontId="4" fillId="2" borderId="41" xfId="0" applyFont="1" applyFill="1" applyBorder="1" applyAlignment="1">
      <alignment vertical="top" wrapText="1"/>
    </xf>
    <xf numFmtId="3" fontId="8" fillId="2" borderId="37" xfId="0" applyNumberFormat="1" applyFont="1" applyFill="1" applyBorder="1" applyAlignment="1">
      <alignment vertical="top"/>
    </xf>
    <xf numFmtId="169" fontId="0" fillId="2" borderId="37" xfId="19" applyNumberFormat="1" applyFont="1" applyFill="1" applyBorder="1" applyAlignment="1">
      <alignment horizontal="center" vertical="top"/>
    </xf>
    <xf numFmtId="0" fontId="6" fillId="0" borderId="21" xfId="0" applyFont="1" applyBorder="1" applyAlignment="1">
      <alignment vertical="top" wrapText="1"/>
    </xf>
    <xf numFmtId="3" fontId="4" fillId="0" borderId="21" xfId="0" applyNumberFormat="1" applyFont="1" applyBorder="1" applyAlignment="1">
      <alignment vertical="top"/>
    </xf>
    <xf numFmtId="3" fontId="0" fillId="0" borderId="41" xfId="0" applyNumberFormat="1" applyFont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169" fontId="6" fillId="3" borderId="10" xfId="19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3" fillId="0" borderId="54" xfId="0" applyFont="1" applyBorder="1" applyAlignment="1">
      <alignment horizontal="center" vertical="top"/>
    </xf>
    <xf numFmtId="0" fontId="8" fillId="2" borderId="21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center" vertical="top"/>
    </xf>
    <xf numFmtId="0" fontId="7" fillId="0" borderId="43" xfId="0" applyFont="1" applyBorder="1" applyAlignment="1">
      <alignment vertical="top" wrapText="1"/>
    </xf>
    <xf numFmtId="3" fontId="0" fillId="0" borderId="43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8" fillId="3" borderId="55" xfId="0" applyFont="1" applyFill="1" applyBorder="1" applyAlignment="1">
      <alignment vertical="top" wrapText="1"/>
    </xf>
    <xf numFmtId="0" fontId="4" fillId="0" borderId="3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69" fontId="13" fillId="3" borderId="10" xfId="19" applyNumberFormat="1" applyFont="1" applyFill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169" fontId="13" fillId="0" borderId="50" xfId="19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169" fontId="0" fillId="2" borderId="1" xfId="19" applyNumberFormat="1" applyFont="1" applyFill="1" applyBorder="1" applyAlignment="1">
      <alignment horizontal="center" vertical="top" wrapText="1"/>
    </xf>
    <xf numFmtId="169" fontId="0" fillId="2" borderId="0" xfId="19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wrapText="1"/>
    </xf>
    <xf numFmtId="3" fontId="7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3" fontId="26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31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169" fontId="6" fillId="3" borderId="56" xfId="19" applyNumberFormat="1" applyFont="1" applyFill="1" applyBorder="1" applyAlignment="1">
      <alignment horizontal="center" vertical="center"/>
    </xf>
    <xf numFmtId="3" fontId="8" fillId="0" borderId="29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vertical="top"/>
    </xf>
    <xf numFmtId="0" fontId="4" fillId="0" borderId="6" xfId="0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7" fillId="0" borderId="6" xfId="0" applyNumberFormat="1" applyFont="1" applyBorder="1" applyAlignment="1">
      <alignment horizontal="right" vertical="top" wrapText="1"/>
    </xf>
    <xf numFmtId="3" fontId="32" fillId="0" borderId="5" xfId="0" applyNumberFormat="1" applyFont="1" applyBorder="1" applyAlignment="1">
      <alignment horizontal="right" vertical="top" wrapText="1"/>
    </xf>
    <xf numFmtId="3" fontId="15" fillId="0" borderId="40" xfId="0" applyNumberFormat="1" applyFont="1" applyBorder="1" applyAlignment="1">
      <alignment horizontal="right" vertical="top" wrapText="1"/>
    </xf>
    <xf numFmtId="3" fontId="1" fillId="0" borderId="40" xfId="0" applyNumberFormat="1" applyFont="1" applyBorder="1" applyAlignment="1">
      <alignment horizontal="right" vertical="top"/>
    </xf>
    <xf numFmtId="3" fontId="15" fillId="0" borderId="57" xfId="0" applyNumberFormat="1" applyFont="1" applyBorder="1" applyAlignment="1">
      <alignment horizontal="right" vertical="top"/>
    </xf>
    <xf numFmtId="3" fontId="32" fillId="0" borderId="10" xfId="0" applyNumberFormat="1" applyFont="1" applyBorder="1" applyAlignment="1">
      <alignment horizontal="right" vertical="top"/>
    </xf>
    <xf numFmtId="3" fontId="32" fillId="0" borderId="1" xfId="0" applyNumberFormat="1" applyFont="1" applyBorder="1" applyAlignment="1">
      <alignment horizontal="right" vertical="top"/>
    </xf>
    <xf numFmtId="49" fontId="4" fillId="0" borderId="24" xfId="0" applyNumberFormat="1" applyFont="1" applyBorder="1" applyAlignment="1">
      <alignment horizontal="center" vertical="top"/>
    </xf>
    <xf numFmtId="3" fontId="15" fillId="0" borderId="31" xfId="0" applyNumberFormat="1" applyFont="1" applyBorder="1" applyAlignment="1">
      <alignment vertical="top"/>
    </xf>
    <xf numFmtId="49" fontId="4" fillId="0" borderId="20" xfId="0" applyNumberFormat="1" applyFont="1" applyBorder="1" applyAlignment="1">
      <alignment horizontal="center" vertical="top"/>
    </xf>
    <xf numFmtId="0" fontId="7" fillId="3" borderId="58" xfId="0" applyFont="1" applyFill="1" applyBorder="1" applyAlignment="1">
      <alignment horizontal="center" vertical="top" wrapText="1"/>
    </xf>
    <xf numFmtId="0" fontId="8" fillId="3" borderId="59" xfId="0" applyFont="1" applyFill="1" applyBorder="1" applyAlignment="1">
      <alignment horizontal="center" vertical="top" wrapText="1"/>
    </xf>
    <xf numFmtId="0" fontId="8" fillId="3" borderId="60" xfId="0" applyFont="1" applyFill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3" borderId="50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49" fontId="8" fillId="0" borderId="20" xfId="0" applyNumberFormat="1" applyFont="1" applyBorder="1" applyAlignment="1">
      <alignment horizontal="left" vertical="top"/>
    </xf>
    <xf numFmtId="49" fontId="8" fillId="0" borderId="3" xfId="0" applyNumberFormat="1" applyFont="1" applyBorder="1" applyAlignment="1">
      <alignment horizontal="left" vertical="top"/>
    </xf>
    <xf numFmtId="49" fontId="8" fillId="0" borderId="18" xfId="0" applyNumberFormat="1" applyFont="1" applyBorder="1" applyAlignment="1">
      <alignment horizontal="left" vertical="top" wrapText="1"/>
    </xf>
    <xf numFmtId="49" fontId="8" fillId="0" borderId="26" xfId="0" applyNumberFormat="1" applyFont="1" applyBorder="1" applyAlignment="1">
      <alignment horizontal="left" vertical="top" wrapText="1"/>
    </xf>
    <xf numFmtId="49" fontId="8" fillId="0" borderId="64" xfId="0" applyNumberFormat="1" applyFont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49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26" xfId="0" applyNumberFormat="1" applyFont="1" applyBorder="1" applyAlignment="1">
      <alignment horizontal="center" vertical="top" wrapText="1"/>
    </xf>
    <xf numFmtId="49" fontId="8" fillId="0" borderId="64" xfId="0" applyNumberFormat="1" applyFont="1" applyBorder="1" applyAlignment="1">
      <alignment horizontal="center" vertical="top" wrapText="1"/>
    </xf>
    <xf numFmtId="49" fontId="8" fillId="0" borderId="58" xfId="0" applyNumberFormat="1" applyFont="1" applyBorder="1" applyAlignment="1">
      <alignment horizontal="center" vertical="top"/>
    </xf>
    <xf numFmtId="49" fontId="8" fillId="0" borderId="59" xfId="0" applyNumberFormat="1" applyFont="1" applyBorder="1" applyAlignment="1">
      <alignment horizontal="center" vertical="top"/>
    </xf>
    <xf numFmtId="49" fontId="8" fillId="0" borderId="60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5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1"/>
  <sheetViews>
    <sheetView workbookViewId="0" topLeftCell="A1">
      <selection activeCell="A5" sqref="A5"/>
    </sheetView>
  </sheetViews>
  <sheetFormatPr defaultColWidth="9.00390625" defaultRowHeight="12.75"/>
  <cols>
    <col min="1" max="1" width="6.375" style="0" customWidth="1"/>
    <col min="2" max="2" width="7.875" style="0" customWidth="1"/>
    <col min="3" max="3" width="41.00390625" style="35" customWidth="1"/>
    <col min="4" max="4" width="10.625" style="0" hidden="1" customWidth="1"/>
    <col min="5" max="5" width="16.375" style="0" customWidth="1"/>
    <col min="6" max="6" width="15.25390625" style="0" customWidth="1"/>
    <col min="7" max="7" width="14.375" style="0" hidden="1" customWidth="1"/>
    <col min="8" max="8" width="8.625" style="153" customWidth="1"/>
    <col min="9" max="9" width="46.625" style="0" hidden="1" customWidth="1"/>
    <col min="10" max="10" width="15.25390625" style="0" customWidth="1"/>
    <col min="11" max="11" width="11.375" style="0" bestFit="1" customWidth="1"/>
  </cols>
  <sheetData>
    <row r="1" spans="4:16" ht="12.75">
      <c r="D1" s="152"/>
      <c r="I1" s="154"/>
      <c r="J1" s="155"/>
      <c r="K1" s="155"/>
      <c r="L1" s="155"/>
      <c r="M1" s="155"/>
      <c r="N1" s="155"/>
      <c r="O1" s="155"/>
      <c r="P1" s="155"/>
    </row>
    <row r="2" spans="1:16" ht="15.75">
      <c r="A2" s="537" t="s">
        <v>184</v>
      </c>
      <c r="B2" s="537"/>
      <c r="C2" s="537"/>
      <c r="D2" s="537"/>
      <c r="E2" s="537"/>
      <c r="F2" s="537"/>
      <c r="G2" s="537"/>
      <c r="H2" s="537"/>
      <c r="I2" s="154"/>
      <c r="J2" s="155"/>
      <c r="K2" s="155"/>
      <c r="L2" s="155"/>
      <c r="M2" s="155"/>
      <c r="N2" s="155"/>
      <c r="O2" s="155"/>
      <c r="P2" s="155"/>
    </row>
    <row r="3" spans="1:16" ht="18">
      <c r="A3" s="156" t="s">
        <v>0</v>
      </c>
      <c r="B3" s="157"/>
      <c r="C3" s="158"/>
      <c r="D3" s="159"/>
      <c r="E3" s="159"/>
      <c r="I3" s="154"/>
      <c r="J3" s="155"/>
      <c r="K3" s="155"/>
      <c r="L3" s="155"/>
      <c r="M3" s="155"/>
      <c r="N3" s="155"/>
      <c r="O3" s="155"/>
      <c r="P3" s="155"/>
    </row>
    <row r="4" spans="1:16" ht="18.75" thickBot="1">
      <c r="A4" s="156"/>
      <c r="B4" s="157"/>
      <c r="C4" s="158"/>
      <c r="D4" s="159"/>
      <c r="E4" s="159" t="s">
        <v>1</v>
      </c>
      <c r="I4" s="154"/>
      <c r="J4" s="155"/>
      <c r="K4" s="155"/>
      <c r="L4" s="155"/>
      <c r="M4" s="155"/>
      <c r="N4" s="155"/>
      <c r="O4" s="155"/>
      <c r="P4" s="155"/>
    </row>
    <row r="5" spans="1:16" ht="35.25" customHeight="1" thickBot="1">
      <c r="A5" s="160" t="s">
        <v>2</v>
      </c>
      <c r="B5" s="160" t="s">
        <v>3</v>
      </c>
      <c r="C5" s="161" t="s">
        <v>4</v>
      </c>
      <c r="D5" s="162" t="s">
        <v>163</v>
      </c>
      <c r="E5" s="162" t="s">
        <v>185</v>
      </c>
      <c r="F5" s="163" t="s">
        <v>186</v>
      </c>
      <c r="G5" s="164" t="s">
        <v>187</v>
      </c>
      <c r="H5" s="165" t="s">
        <v>188</v>
      </c>
      <c r="I5" s="166"/>
      <c r="J5" s="167"/>
      <c r="K5" s="167" t="s">
        <v>231</v>
      </c>
      <c r="L5" s="155"/>
      <c r="M5" s="155"/>
      <c r="N5" s="155"/>
      <c r="O5" s="155"/>
      <c r="P5" s="155"/>
    </row>
    <row r="6" spans="1:16" ht="15" customHeight="1" thickBot="1">
      <c r="A6" s="168">
        <v>1</v>
      </c>
      <c r="B6" s="168">
        <v>2</v>
      </c>
      <c r="C6" s="169">
        <v>3</v>
      </c>
      <c r="D6" s="170">
        <v>4</v>
      </c>
      <c r="E6" s="171">
        <v>4</v>
      </c>
      <c r="F6" s="171">
        <v>5</v>
      </c>
      <c r="G6" s="171">
        <v>7</v>
      </c>
      <c r="H6" s="165">
        <v>6</v>
      </c>
      <c r="I6" s="172"/>
      <c r="J6" s="503"/>
      <c r="K6" s="167"/>
      <c r="L6" s="155"/>
      <c r="M6" s="155"/>
      <c r="N6" s="155"/>
      <c r="O6" s="155"/>
      <c r="P6" s="155"/>
    </row>
    <row r="7" spans="1:16" s="181" customFormat="1" ht="18">
      <c r="A7" s="173" t="s">
        <v>31</v>
      </c>
      <c r="B7" s="174"/>
      <c r="C7" s="175" t="s">
        <v>32</v>
      </c>
      <c r="D7" s="176">
        <f aca="true" t="shared" si="0" ref="D7:F8">D8</f>
        <v>5200</v>
      </c>
      <c r="E7" s="176">
        <f t="shared" si="0"/>
        <v>5200</v>
      </c>
      <c r="F7" s="176">
        <f t="shared" si="0"/>
        <v>4000</v>
      </c>
      <c r="G7" s="176"/>
      <c r="H7" s="177">
        <f>F7/E7</f>
        <v>0.7692307692307693</v>
      </c>
      <c r="I7" s="178"/>
      <c r="J7" s="512"/>
      <c r="K7" s="179"/>
      <c r="L7" s="180"/>
      <c r="M7" s="180"/>
      <c r="N7" s="180"/>
      <c r="O7" s="180"/>
      <c r="P7" s="180"/>
    </row>
    <row r="8" spans="1:16" s="37" customFormat="1" ht="15.75">
      <c r="A8" s="182"/>
      <c r="B8" s="183" t="s">
        <v>129</v>
      </c>
      <c r="C8" s="184" t="s">
        <v>134</v>
      </c>
      <c r="D8" s="185">
        <f t="shared" si="0"/>
        <v>5200</v>
      </c>
      <c r="E8" s="185">
        <f t="shared" si="0"/>
        <v>5200</v>
      </c>
      <c r="F8" s="185">
        <f t="shared" si="0"/>
        <v>4000</v>
      </c>
      <c r="G8" s="185" t="s">
        <v>189</v>
      </c>
      <c r="H8" s="186">
        <f>F8/E8</f>
        <v>0.7692307692307693</v>
      </c>
      <c r="I8" s="187"/>
      <c r="J8" s="188"/>
      <c r="K8" s="189"/>
      <c r="L8" s="190"/>
      <c r="M8" s="190"/>
      <c r="N8" s="190"/>
      <c r="O8" s="190"/>
      <c r="P8" s="190"/>
    </row>
    <row r="9" spans="1:45" s="37" customFormat="1" ht="18.75" customHeight="1">
      <c r="A9" s="191"/>
      <c r="B9" s="191"/>
      <c r="C9" s="192" t="s">
        <v>6</v>
      </c>
      <c r="D9" s="193">
        <v>5200</v>
      </c>
      <c r="E9" s="193">
        <v>5200</v>
      </c>
      <c r="F9" s="193">
        <v>4000</v>
      </c>
      <c r="G9" s="193"/>
      <c r="H9" s="194">
        <f>F9/E9</f>
        <v>0.7692307692307693</v>
      </c>
      <c r="I9" s="195"/>
      <c r="J9" s="513"/>
      <c r="K9" s="189"/>
      <c r="L9" s="196"/>
      <c r="M9" s="196"/>
      <c r="N9" s="196"/>
      <c r="O9" s="196"/>
      <c r="P9" s="196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</row>
    <row r="10" spans="1:16" s="37" customFormat="1" ht="15.75" customHeight="1">
      <c r="A10" s="182"/>
      <c r="B10" s="183"/>
      <c r="C10" s="192" t="s">
        <v>10</v>
      </c>
      <c r="D10" s="185"/>
      <c r="E10" s="185"/>
      <c r="F10" s="186"/>
      <c r="G10" s="199"/>
      <c r="H10" s="186"/>
      <c r="I10" s="200"/>
      <c r="J10" s="513"/>
      <c r="K10" s="189"/>
      <c r="L10" s="190"/>
      <c r="M10" s="190"/>
      <c r="N10" s="190"/>
      <c r="O10" s="190"/>
      <c r="P10" s="190"/>
    </row>
    <row r="11" spans="1:16" s="37" customFormat="1" ht="15" customHeight="1" thickBot="1">
      <c r="A11" s="191"/>
      <c r="B11" s="191"/>
      <c r="C11" s="201" t="s">
        <v>13</v>
      </c>
      <c r="D11" s="193">
        <v>5200</v>
      </c>
      <c r="E11" s="193">
        <v>5200</v>
      </c>
      <c r="F11" s="193">
        <v>4000</v>
      </c>
      <c r="G11" s="202"/>
      <c r="H11" s="194">
        <f aca="true" t="shared" si="1" ref="H11:H20">F11/E11</f>
        <v>0.7692307692307693</v>
      </c>
      <c r="I11" s="200"/>
      <c r="J11" s="513"/>
      <c r="K11" s="189"/>
      <c r="L11" s="190"/>
      <c r="M11" s="190"/>
      <c r="N11" s="190"/>
      <c r="O11" s="190"/>
      <c r="P11" s="190"/>
    </row>
    <row r="12" spans="1:16" s="181" customFormat="1" ht="24.75" customHeight="1">
      <c r="A12" s="203" t="s">
        <v>33</v>
      </c>
      <c r="B12" s="204"/>
      <c r="C12" s="205" t="s">
        <v>7</v>
      </c>
      <c r="D12" s="206">
        <f aca="true" t="shared" si="2" ref="D12:F13">D13</f>
        <v>17700</v>
      </c>
      <c r="E12" s="206">
        <f t="shared" si="2"/>
        <v>17700</v>
      </c>
      <c r="F12" s="206">
        <f t="shared" si="2"/>
        <v>18200</v>
      </c>
      <c r="G12" s="206"/>
      <c r="H12" s="207">
        <f t="shared" si="1"/>
        <v>1.0282485875706215</v>
      </c>
      <c r="I12" s="178"/>
      <c r="J12" s="512"/>
      <c r="K12" s="179"/>
      <c r="L12" s="180"/>
      <c r="M12" s="180"/>
      <c r="N12" s="180"/>
      <c r="O12" s="180"/>
      <c r="P12" s="180"/>
    </row>
    <row r="13" spans="1:16" s="37" customFormat="1" ht="18" customHeight="1">
      <c r="A13" s="182"/>
      <c r="B13" s="183" t="s">
        <v>116</v>
      </c>
      <c r="C13" s="184" t="s">
        <v>117</v>
      </c>
      <c r="D13" s="185">
        <f t="shared" si="2"/>
        <v>17700</v>
      </c>
      <c r="E13" s="185">
        <f t="shared" si="2"/>
        <v>17700</v>
      </c>
      <c r="F13" s="185">
        <f t="shared" si="2"/>
        <v>18200</v>
      </c>
      <c r="G13" s="185" t="s">
        <v>189</v>
      </c>
      <c r="H13" s="208">
        <f t="shared" si="1"/>
        <v>1.0282485875706215</v>
      </c>
      <c r="I13" s="200"/>
      <c r="J13" s="513"/>
      <c r="K13" s="189"/>
      <c r="L13" s="190"/>
      <c r="M13" s="190"/>
      <c r="N13" s="190"/>
      <c r="O13" s="190"/>
      <c r="P13" s="190"/>
    </row>
    <row r="14" spans="1:16" s="211" customFormat="1" ht="18" customHeight="1" thickBot="1">
      <c r="A14" s="191"/>
      <c r="B14" s="191"/>
      <c r="C14" s="192" t="s">
        <v>6</v>
      </c>
      <c r="D14" s="193">
        <v>17700</v>
      </c>
      <c r="E14" s="193">
        <v>17700</v>
      </c>
      <c r="F14" s="193">
        <v>18200</v>
      </c>
      <c r="G14" s="209"/>
      <c r="H14" s="210">
        <f t="shared" si="1"/>
        <v>1.0282485875706215</v>
      </c>
      <c r="I14" s="195"/>
      <c r="J14" s="196"/>
      <c r="K14" s="196"/>
      <c r="L14" s="180"/>
      <c r="M14" s="180"/>
      <c r="N14" s="180"/>
      <c r="O14" s="180"/>
      <c r="P14" s="180"/>
    </row>
    <row r="15" spans="1:16" s="211" customFormat="1" ht="24.75" customHeight="1">
      <c r="A15" s="212">
        <v>500</v>
      </c>
      <c r="B15" s="204"/>
      <c r="C15" s="205" t="s">
        <v>131</v>
      </c>
      <c r="D15" s="206">
        <f aca="true" t="shared" si="3" ref="D15:F16">D16</f>
        <v>225000</v>
      </c>
      <c r="E15" s="206">
        <f t="shared" si="3"/>
        <v>285000</v>
      </c>
      <c r="F15" s="206">
        <f t="shared" si="3"/>
        <v>297000</v>
      </c>
      <c r="G15" s="176"/>
      <c r="H15" s="177">
        <f t="shared" si="1"/>
        <v>1.0421052631578946</v>
      </c>
      <c r="I15" s="195"/>
      <c r="J15" s="196"/>
      <c r="K15" s="189"/>
      <c r="L15" s="180"/>
      <c r="M15" s="180"/>
      <c r="N15" s="180"/>
      <c r="O15" s="180"/>
      <c r="P15" s="180"/>
    </row>
    <row r="16" spans="1:16" s="211" customFormat="1" ht="21" customHeight="1">
      <c r="A16" s="213"/>
      <c r="B16" s="214">
        <v>50095</v>
      </c>
      <c r="C16" s="215" t="s">
        <v>5</v>
      </c>
      <c r="D16" s="216">
        <f t="shared" si="3"/>
        <v>225000</v>
      </c>
      <c r="E16" s="216">
        <f t="shared" si="3"/>
        <v>285000</v>
      </c>
      <c r="F16" s="216">
        <f t="shared" si="3"/>
        <v>297000</v>
      </c>
      <c r="G16" s="216"/>
      <c r="H16" s="217">
        <f t="shared" si="1"/>
        <v>1.0421052631578946</v>
      </c>
      <c r="I16" s="218"/>
      <c r="J16" s="512"/>
      <c r="K16" s="179"/>
      <c r="L16" s="180"/>
      <c r="M16" s="180"/>
      <c r="N16" s="180"/>
      <c r="O16" s="180"/>
      <c r="P16" s="180"/>
    </row>
    <row r="17" spans="1:16" s="211" customFormat="1" ht="16.5" customHeight="1" thickBot="1">
      <c r="A17" s="219"/>
      <c r="B17" s="191"/>
      <c r="C17" s="192" t="s">
        <v>6</v>
      </c>
      <c r="D17" s="193">
        <v>225000</v>
      </c>
      <c r="E17" s="193">
        <v>285000</v>
      </c>
      <c r="F17" s="193">
        <v>297000</v>
      </c>
      <c r="G17" s="193" t="s">
        <v>189</v>
      </c>
      <c r="H17" s="194">
        <f t="shared" si="1"/>
        <v>1.0421052631578946</v>
      </c>
      <c r="I17" s="218"/>
      <c r="J17" s="512"/>
      <c r="K17" s="179"/>
      <c r="L17" s="180"/>
      <c r="M17" s="180"/>
      <c r="N17" s="180"/>
      <c r="O17" s="180"/>
      <c r="P17" s="180"/>
    </row>
    <row r="18" spans="1:16" s="181" customFormat="1" ht="22.5" customHeight="1">
      <c r="A18" s="212">
        <v>600</v>
      </c>
      <c r="B18" s="204"/>
      <c r="C18" s="205" t="s">
        <v>36</v>
      </c>
      <c r="D18" s="206">
        <f>D19+D33+D25+D36+D29</f>
        <v>8948825</v>
      </c>
      <c r="E18" s="206">
        <f>E19+E33+E25+E36+E29</f>
        <v>9283525</v>
      </c>
      <c r="F18" s="206">
        <f>F19+F33+F25+F36+F29</f>
        <v>6380000</v>
      </c>
      <c r="G18" s="176"/>
      <c r="H18" s="207">
        <f t="shared" si="1"/>
        <v>0.6872389528761973</v>
      </c>
      <c r="I18" s="220"/>
      <c r="J18" s="402"/>
      <c r="K18" s="180"/>
      <c r="L18" s="180"/>
      <c r="M18" s="180"/>
      <c r="N18" s="180"/>
      <c r="O18" s="180"/>
      <c r="P18" s="180"/>
    </row>
    <row r="19" spans="1:16" s="37" customFormat="1" ht="21.75" customHeight="1">
      <c r="A19" s="182"/>
      <c r="B19" s="182">
        <v>60004</v>
      </c>
      <c r="C19" s="184" t="s">
        <v>114</v>
      </c>
      <c r="D19" s="185">
        <f>D20</f>
        <v>1376325</v>
      </c>
      <c r="E19" s="185">
        <f>E20</f>
        <v>1386125</v>
      </c>
      <c r="F19" s="185">
        <f>F20</f>
        <v>1570000</v>
      </c>
      <c r="G19" s="185"/>
      <c r="H19" s="208">
        <f t="shared" si="1"/>
        <v>1.1326539814230319</v>
      </c>
      <c r="I19" s="221"/>
      <c r="J19" s="506"/>
      <c r="K19" s="190"/>
      <c r="L19" s="190"/>
      <c r="M19" s="190"/>
      <c r="N19" s="190"/>
      <c r="O19" s="190"/>
      <c r="P19" s="190"/>
    </row>
    <row r="20" spans="1:16" s="37" customFormat="1" ht="19.5" customHeight="1">
      <c r="A20" s="222"/>
      <c r="B20" s="191"/>
      <c r="C20" s="192" t="s">
        <v>6</v>
      </c>
      <c r="D20" s="193">
        <v>1376325</v>
      </c>
      <c r="E20" s="193">
        <v>1386125</v>
      </c>
      <c r="F20" s="193">
        <v>1570000</v>
      </c>
      <c r="G20" s="193" t="s">
        <v>189</v>
      </c>
      <c r="H20" s="194">
        <f t="shared" si="1"/>
        <v>1.1326539814230319</v>
      </c>
      <c r="I20" s="221"/>
      <c r="J20" s="506"/>
      <c r="K20" s="190"/>
      <c r="L20" s="190"/>
      <c r="M20" s="190"/>
      <c r="N20" s="190"/>
      <c r="O20" s="190"/>
      <c r="P20" s="190"/>
    </row>
    <row r="21" spans="1:16" s="37" customFormat="1" ht="15.75" customHeight="1" hidden="1">
      <c r="A21" s="191"/>
      <c r="B21" s="191"/>
      <c r="C21" s="192"/>
      <c r="D21" s="193"/>
      <c r="E21" s="193"/>
      <c r="F21" s="193"/>
      <c r="G21" s="193"/>
      <c r="H21" s="194"/>
      <c r="I21" s="221"/>
      <c r="J21" s="506"/>
      <c r="K21" s="190"/>
      <c r="L21" s="190"/>
      <c r="M21" s="190"/>
      <c r="N21" s="190"/>
      <c r="O21" s="190"/>
      <c r="P21" s="190"/>
    </row>
    <row r="22" spans="1:16" s="37" customFormat="1" ht="19.5" customHeight="1" hidden="1">
      <c r="A22" s="191"/>
      <c r="B22" s="191"/>
      <c r="C22" s="201"/>
      <c r="D22" s="193"/>
      <c r="E22" s="193"/>
      <c r="F22" s="193"/>
      <c r="G22" s="193"/>
      <c r="H22" s="194"/>
      <c r="I22" s="221"/>
      <c r="J22" s="506"/>
      <c r="K22" s="190"/>
      <c r="L22" s="190"/>
      <c r="M22" s="190"/>
      <c r="N22" s="190"/>
      <c r="O22" s="190"/>
      <c r="P22" s="190"/>
    </row>
    <row r="23" spans="1:16" s="37" customFormat="1" ht="14.25" customHeight="1">
      <c r="A23" s="191"/>
      <c r="B23" s="191"/>
      <c r="C23" s="201" t="s">
        <v>10</v>
      </c>
      <c r="D23" s="193"/>
      <c r="E23" s="193"/>
      <c r="F23" s="193"/>
      <c r="G23" s="193"/>
      <c r="H23" s="194"/>
      <c r="I23" s="221"/>
      <c r="J23" s="506"/>
      <c r="K23" s="190"/>
      <c r="L23" s="190"/>
      <c r="M23" s="190"/>
      <c r="N23" s="190"/>
      <c r="O23" s="190"/>
      <c r="P23" s="190"/>
    </row>
    <row r="24" spans="1:16" s="37" customFormat="1" ht="19.5" customHeight="1">
      <c r="A24" s="222"/>
      <c r="B24" s="223"/>
      <c r="C24" s="224" t="s">
        <v>13</v>
      </c>
      <c r="D24" s="202">
        <v>1376325</v>
      </c>
      <c r="E24" s="202">
        <v>1376325</v>
      </c>
      <c r="F24" s="202">
        <v>1570000</v>
      </c>
      <c r="G24" s="202"/>
      <c r="H24" s="225">
        <f aca="true" t="shared" si="4" ref="H24:H40">F24/E24</f>
        <v>1.1407189435634753</v>
      </c>
      <c r="I24" s="221"/>
      <c r="J24" s="506"/>
      <c r="K24" s="190"/>
      <c r="L24" s="190"/>
      <c r="M24" s="190"/>
      <c r="N24" s="190"/>
      <c r="O24" s="190"/>
      <c r="P24" s="190"/>
    </row>
    <row r="25" spans="1:16" s="37" customFormat="1" ht="17.25" customHeight="1">
      <c r="A25" s="226"/>
      <c r="B25" s="227">
        <v>60013</v>
      </c>
      <c r="C25" s="228" t="s">
        <v>147</v>
      </c>
      <c r="D25" s="229">
        <f>SUM(D26)</f>
        <v>1182500</v>
      </c>
      <c r="E25" s="229">
        <f>SUM(E26)</f>
        <v>917200</v>
      </c>
      <c r="F25" s="229">
        <f>SUM(F26)</f>
        <v>110000</v>
      </c>
      <c r="G25" s="230"/>
      <c r="H25" s="208">
        <f t="shared" si="4"/>
        <v>0.11993022241604885</v>
      </c>
      <c r="I25" s="221"/>
      <c r="J25" s="506"/>
      <c r="K25" s="190"/>
      <c r="L25" s="190"/>
      <c r="M25" s="190"/>
      <c r="N25" s="190"/>
      <c r="O25" s="190"/>
      <c r="P25" s="190"/>
    </row>
    <row r="26" spans="1:16" s="37" customFormat="1" ht="15" customHeight="1">
      <c r="A26" s="191"/>
      <c r="B26" s="191"/>
      <c r="C26" s="231" t="s">
        <v>9</v>
      </c>
      <c r="D26" s="193">
        <v>1182500</v>
      </c>
      <c r="E26" s="193">
        <v>917200</v>
      </c>
      <c r="F26" s="193">
        <v>110000</v>
      </c>
      <c r="G26" s="193"/>
      <c r="H26" s="194">
        <f t="shared" si="4"/>
        <v>0.11993022241604885</v>
      </c>
      <c r="I26" s="221"/>
      <c r="J26" s="506"/>
      <c r="K26" s="507">
        <f>F26</f>
        <v>110000</v>
      </c>
      <c r="L26" s="190"/>
      <c r="M26" s="190"/>
      <c r="N26" s="190"/>
      <c r="O26" s="190"/>
      <c r="P26" s="190"/>
    </row>
    <row r="27" spans="1:16" s="37" customFormat="1" ht="14.25" customHeight="1">
      <c r="A27" s="191"/>
      <c r="B27" s="191"/>
      <c r="C27" s="231" t="s">
        <v>10</v>
      </c>
      <c r="D27" s="193"/>
      <c r="E27" s="193"/>
      <c r="F27" s="193"/>
      <c r="G27" s="193"/>
      <c r="H27" s="194"/>
      <c r="I27" s="221"/>
      <c r="J27" s="506"/>
      <c r="K27" s="190"/>
      <c r="L27" s="190"/>
      <c r="M27" s="190"/>
      <c r="N27" s="190"/>
      <c r="O27" s="190"/>
      <c r="P27" s="190"/>
    </row>
    <row r="28" spans="1:16" s="37" customFormat="1" ht="13.5" customHeight="1">
      <c r="A28" s="191"/>
      <c r="B28" s="223"/>
      <c r="C28" s="232" t="s">
        <v>13</v>
      </c>
      <c r="D28" s="202">
        <v>1182500</v>
      </c>
      <c r="E28" s="202">
        <v>917200</v>
      </c>
      <c r="F28" s="202">
        <v>110000</v>
      </c>
      <c r="G28" s="202"/>
      <c r="H28" s="225">
        <f t="shared" si="4"/>
        <v>0.11993022241604885</v>
      </c>
      <c r="I28" s="221"/>
      <c r="J28" s="506"/>
      <c r="K28" s="190"/>
      <c r="L28" s="190"/>
      <c r="M28" s="190"/>
      <c r="N28" s="190"/>
      <c r="O28" s="190"/>
      <c r="P28" s="190"/>
    </row>
    <row r="29" spans="1:16" s="37" customFormat="1" ht="20.25" customHeight="1">
      <c r="A29" s="191"/>
      <c r="B29" s="182">
        <v>60014</v>
      </c>
      <c r="C29" s="184" t="s">
        <v>182</v>
      </c>
      <c r="D29" s="185">
        <f>SUM(D30)</f>
        <v>300000</v>
      </c>
      <c r="E29" s="185">
        <f>SUM(E30)</f>
        <v>200000</v>
      </c>
      <c r="F29" s="185">
        <f>SUM(F30)</f>
        <v>350000</v>
      </c>
      <c r="G29" s="193"/>
      <c r="H29" s="194">
        <f t="shared" si="4"/>
        <v>1.75</v>
      </c>
      <c r="I29" s="221"/>
      <c r="J29" s="506"/>
      <c r="K29" s="190"/>
      <c r="L29" s="190"/>
      <c r="M29" s="190"/>
      <c r="N29" s="190"/>
      <c r="O29" s="190"/>
      <c r="P29" s="190"/>
    </row>
    <row r="30" spans="1:16" s="37" customFormat="1" ht="15" customHeight="1">
      <c r="A30" s="191"/>
      <c r="B30" s="191"/>
      <c r="C30" s="231" t="s">
        <v>9</v>
      </c>
      <c r="D30" s="193">
        <v>300000</v>
      </c>
      <c r="E30" s="193">
        <v>200000</v>
      </c>
      <c r="F30" s="193">
        <v>350000</v>
      </c>
      <c r="G30" s="193"/>
      <c r="H30" s="194">
        <f t="shared" si="4"/>
        <v>1.75</v>
      </c>
      <c r="I30" s="221"/>
      <c r="J30" s="506"/>
      <c r="K30" s="507">
        <f>F30</f>
        <v>350000</v>
      </c>
      <c r="L30" s="190"/>
      <c r="M30" s="190"/>
      <c r="N30" s="190"/>
      <c r="O30" s="190"/>
      <c r="P30" s="190"/>
    </row>
    <row r="31" spans="1:16" s="37" customFormat="1" ht="15" customHeight="1">
      <c r="A31" s="191"/>
      <c r="B31" s="191"/>
      <c r="C31" s="231" t="s">
        <v>10</v>
      </c>
      <c r="D31" s="193"/>
      <c r="E31" s="193"/>
      <c r="F31" s="193"/>
      <c r="G31" s="193"/>
      <c r="H31" s="194"/>
      <c r="I31" s="221"/>
      <c r="J31" s="506"/>
      <c r="K31" s="190"/>
      <c r="L31" s="190"/>
      <c r="M31" s="190"/>
      <c r="N31" s="190"/>
      <c r="O31" s="190"/>
      <c r="P31" s="190"/>
    </row>
    <row r="32" spans="1:16" s="37" customFormat="1" ht="15" customHeight="1">
      <c r="A32" s="191"/>
      <c r="B32" s="191"/>
      <c r="C32" s="231" t="s">
        <v>13</v>
      </c>
      <c r="D32" s="193">
        <v>300000</v>
      </c>
      <c r="E32" s="193">
        <v>200000</v>
      </c>
      <c r="F32" s="193">
        <v>350000</v>
      </c>
      <c r="G32" s="193"/>
      <c r="H32" s="225">
        <f t="shared" si="4"/>
        <v>1.75</v>
      </c>
      <c r="I32" s="221"/>
      <c r="J32" s="506"/>
      <c r="K32" s="190"/>
      <c r="L32" s="190"/>
      <c r="M32" s="190"/>
      <c r="N32" s="190"/>
      <c r="O32" s="190"/>
      <c r="P32" s="190"/>
    </row>
    <row r="33" spans="1:16" s="37" customFormat="1" ht="19.5" customHeight="1">
      <c r="A33" s="213"/>
      <c r="B33" s="233">
        <v>60016</v>
      </c>
      <c r="C33" s="234" t="s">
        <v>8</v>
      </c>
      <c r="D33" s="235">
        <f>D34+D35</f>
        <v>5770000</v>
      </c>
      <c r="E33" s="235">
        <f>E34+E35</f>
        <v>6360200</v>
      </c>
      <c r="F33" s="235">
        <f>F34+F35</f>
        <v>3820000</v>
      </c>
      <c r="G33" s="235"/>
      <c r="H33" s="236">
        <f t="shared" si="4"/>
        <v>0.6006100437093174</v>
      </c>
      <c r="I33" s="221"/>
      <c r="J33" s="506"/>
      <c r="K33" s="190"/>
      <c r="L33" s="190"/>
      <c r="M33" s="190"/>
      <c r="N33" s="190"/>
      <c r="O33" s="190"/>
      <c r="P33" s="190"/>
    </row>
    <row r="34" spans="1:16" s="211" customFormat="1" ht="16.5" customHeight="1">
      <c r="A34" s="191"/>
      <c r="B34" s="191"/>
      <c r="C34" s="192" t="s">
        <v>6</v>
      </c>
      <c r="D34" s="193">
        <v>2900000</v>
      </c>
      <c r="E34" s="193">
        <v>3539200</v>
      </c>
      <c r="F34" s="193">
        <v>2470000</v>
      </c>
      <c r="G34" s="193" t="s">
        <v>189</v>
      </c>
      <c r="H34" s="194">
        <f t="shared" si="4"/>
        <v>0.6978978300180831</v>
      </c>
      <c r="I34" s="237"/>
      <c r="J34" s="402"/>
      <c r="K34" s="180"/>
      <c r="L34" s="180"/>
      <c r="M34" s="180"/>
      <c r="N34" s="180"/>
      <c r="O34" s="180"/>
      <c r="P34" s="180"/>
    </row>
    <row r="35" spans="1:16" s="211" customFormat="1" ht="16.5" customHeight="1">
      <c r="A35" s="191"/>
      <c r="B35" s="191"/>
      <c r="C35" s="192" t="s">
        <v>9</v>
      </c>
      <c r="D35" s="193">
        <v>2870000</v>
      </c>
      <c r="E35" s="193">
        <v>2821000</v>
      </c>
      <c r="F35" s="193">
        <v>1350000</v>
      </c>
      <c r="G35" s="193"/>
      <c r="H35" s="238">
        <f t="shared" si="4"/>
        <v>0.478553704360156</v>
      </c>
      <c r="I35" s="237"/>
      <c r="J35" s="402"/>
      <c r="K35" s="508">
        <f>F35</f>
        <v>1350000</v>
      </c>
      <c r="L35" s="180"/>
      <c r="M35" s="180"/>
      <c r="N35" s="180"/>
      <c r="O35" s="180"/>
      <c r="P35" s="180"/>
    </row>
    <row r="36" spans="1:16" s="211" customFormat="1" ht="20.25" customHeight="1">
      <c r="A36" s="213"/>
      <c r="B36" s="233">
        <v>60017</v>
      </c>
      <c r="C36" s="234" t="s">
        <v>190</v>
      </c>
      <c r="D36" s="235">
        <f>SUM(D37)</f>
        <v>320000</v>
      </c>
      <c r="E36" s="235">
        <f>E37</f>
        <v>420000</v>
      </c>
      <c r="F36" s="235">
        <f>F37</f>
        <v>530000</v>
      </c>
      <c r="G36" s="235"/>
      <c r="H36" s="236">
        <f t="shared" si="4"/>
        <v>1.2619047619047619</v>
      </c>
      <c r="I36" s="237"/>
      <c r="J36" s="402"/>
      <c r="K36" s="180"/>
      <c r="L36" s="180"/>
      <c r="M36" s="180"/>
      <c r="N36" s="180"/>
      <c r="O36" s="180"/>
      <c r="P36" s="180"/>
    </row>
    <row r="37" spans="1:16" s="211" customFormat="1" ht="17.25" customHeight="1" thickBot="1">
      <c r="A37" s="191"/>
      <c r="B37" s="191"/>
      <c r="C37" s="192" t="s">
        <v>6</v>
      </c>
      <c r="D37" s="193">
        <v>320000</v>
      </c>
      <c r="E37" s="193">
        <v>420000</v>
      </c>
      <c r="F37" s="193">
        <v>530000</v>
      </c>
      <c r="G37" s="193" t="s">
        <v>189</v>
      </c>
      <c r="H37" s="194">
        <f t="shared" si="4"/>
        <v>1.2619047619047619</v>
      </c>
      <c r="I37" s="237"/>
      <c r="J37" s="402"/>
      <c r="K37" s="180"/>
      <c r="L37" s="180"/>
      <c r="M37" s="180"/>
      <c r="N37" s="180"/>
      <c r="O37" s="180"/>
      <c r="P37" s="180"/>
    </row>
    <row r="38" spans="1:16" s="181" customFormat="1" ht="22.5" customHeight="1">
      <c r="A38" s="239">
        <v>630</v>
      </c>
      <c r="B38" s="204"/>
      <c r="C38" s="240" t="s">
        <v>38</v>
      </c>
      <c r="D38" s="241">
        <f>D39</f>
        <v>23510</v>
      </c>
      <c r="E38" s="241">
        <f>E39</f>
        <v>30510</v>
      </c>
      <c r="F38" s="241">
        <f>F39</f>
        <v>30510</v>
      </c>
      <c r="G38" s="241"/>
      <c r="H38" s="242">
        <f t="shared" si="4"/>
        <v>1</v>
      </c>
      <c r="I38" s="220"/>
      <c r="J38" s="402"/>
      <c r="K38" s="180"/>
      <c r="L38" s="180"/>
      <c r="M38" s="180"/>
      <c r="N38" s="180"/>
      <c r="O38" s="180"/>
      <c r="P38" s="180"/>
    </row>
    <row r="39" spans="1:16" s="181" customFormat="1" ht="34.5" customHeight="1">
      <c r="A39" s="243"/>
      <c r="B39" s="243">
        <v>63003</v>
      </c>
      <c r="C39" s="244" t="s">
        <v>158</v>
      </c>
      <c r="D39" s="229">
        <f>SUM(D40)</f>
        <v>23510</v>
      </c>
      <c r="E39" s="229">
        <f>SUM(E40)</f>
        <v>30510</v>
      </c>
      <c r="F39" s="229">
        <f>SUM(F40)</f>
        <v>30510</v>
      </c>
      <c r="G39" s="229"/>
      <c r="H39" s="208">
        <f t="shared" si="4"/>
        <v>1</v>
      </c>
      <c r="I39" s="220"/>
      <c r="J39" s="402"/>
      <c r="K39" s="180"/>
      <c r="L39" s="180"/>
      <c r="M39" s="180"/>
      <c r="N39" s="180"/>
      <c r="O39" s="180"/>
      <c r="P39" s="180"/>
    </row>
    <row r="40" spans="1:16" s="181" customFormat="1" ht="16.5" customHeight="1">
      <c r="A40" s="243"/>
      <c r="B40" s="243"/>
      <c r="C40" s="245" t="s">
        <v>6</v>
      </c>
      <c r="D40" s="246">
        <v>23510</v>
      </c>
      <c r="E40" s="246">
        <v>30510</v>
      </c>
      <c r="F40" s="246">
        <v>30510</v>
      </c>
      <c r="G40" s="229"/>
      <c r="H40" s="194">
        <f t="shared" si="4"/>
        <v>1</v>
      </c>
      <c r="I40" s="220"/>
      <c r="J40" s="402"/>
      <c r="K40" s="180"/>
      <c r="L40" s="180"/>
      <c r="M40" s="180"/>
      <c r="N40" s="180"/>
      <c r="O40" s="180"/>
      <c r="P40" s="180"/>
    </row>
    <row r="41" spans="1:16" s="181" customFormat="1" ht="15" customHeight="1">
      <c r="A41" s="243"/>
      <c r="B41" s="243"/>
      <c r="C41" s="247" t="s">
        <v>10</v>
      </c>
      <c r="D41" s="229"/>
      <c r="E41" s="229"/>
      <c r="F41" s="229"/>
      <c r="G41" s="229"/>
      <c r="H41" s="248"/>
      <c r="I41" s="220"/>
      <c r="J41" s="402"/>
      <c r="K41" s="180"/>
      <c r="L41" s="180"/>
      <c r="M41" s="180"/>
      <c r="N41" s="180"/>
      <c r="O41" s="180"/>
      <c r="P41" s="180"/>
    </row>
    <row r="42" spans="1:16" s="181" customFormat="1" ht="18.75" customHeight="1" thickBot="1">
      <c r="A42" s="243"/>
      <c r="B42" s="249"/>
      <c r="C42" s="250" t="s">
        <v>13</v>
      </c>
      <c r="D42" s="251">
        <v>23510</v>
      </c>
      <c r="E42" s="251">
        <v>23510</v>
      </c>
      <c r="F42" s="251">
        <v>23510</v>
      </c>
      <c r="G42" s="252"/>
      <c r="H42" s="225">
        <f>F42/E42</f>
        <v>1</v>
      </c>
      <c r="I42" s="220"/>
      <c r="J42" s="402"/>
      <c r="K42" s="180"/>
      <c r="L42" s="180"/>
      <c r="M42" s="180"/>
      <c r="N42" s="180"/>
      <c r="O42" s="180"/>
      <c r="P42" s="180"/>
    </row>
    <row r="43" spans="1:16" s="181" customFormat="1" ht="18">
      <c r="A43" s="253">
        <v>700</v>
      </c>
      <c r="B43" s="254"/>
      <c r="C43" s="205" t="s">
        <v>191</v>
      </c>
      <c r="D43" s="206">
        <f>D56+D51+D44+D54</f>
        <v>4176000</v>
      </c>
      <c r="E43" s="206">
        <f>E56+E51+E44+E54</f>
        <v>4990000</v>
      </c>
      <c r="F43" s="206">
        <f>F56+F51+F44+F54</f>
        <v>2755000</v>
      </c>
      <c r="G43" s="206"/>
      <c r="H43" s="207">
        <f>F43/E43</f>
        <v>0.5521042084168337</v>
      </c>
      <c r="I43" s="220"/>
      <c r="J43" s="402"/>
      <c r="K43" s="180"/>
      <c r="L43" s="180"/>
      <c r="M43" s="180"/>
      <c r="N43" s="180"/>
      <c r="O43" s="180"/>
      <c r="P43" s="180"/>
    </row>
    <row r="44" spans="1:16" s="181" customFormat="1" ht="18">
      <c r="A44" s="255"/>
      <c r="B44" s="189">
        <v>70001</v>
      </c>
      <c r="C44" s="256" t="s">
        <v>12</v>
      </c>
      <c r="D44" s="235">
        <f>D45+D48</f>
        <v>2100000</v>
      </c>
      <c r="E44" s="235">
        <f>E45+E46+E48</f>
        <v>2744000</v>
      </c>
      <c r="F44" s="235">
        <f>F45+F46+F48</f>
        <v>1910000</v>
      </c>
      <c r="G44" s="199"/>
      <c r="H44" s="208">
        <f>F44/E44</f>
        <v>0.6960641399416909</v>
      </c>
      <c r="I44" s="220"/>
      <c r="J44" s="402"/>
      <c r="K44" s="180"/>
      <c r="L44" s="180"/>
      <c r="M44" s="180"/>
      <c r="N44" s="180"/>
      <c r="O44" s="180"/>
      <c r="P44" s="180"/>
    </row>
    <row r="45" spans="1:16" s="181" customFormat="1" ht="18">
      <c r="A45" s="257"/>
      <c r="B45" s="257"/>
      <c r="C45" s="258" t="s">
        <v>6</v>
      </c>
      <c r="D45" s="259">
        <v>1300000</v>
      </c>
      <c r="E45" s="259">
        <v>1300000</v>
      </c>
      <c r="F45" s="259">
        <v>800000</v>
      </c>
      <c r="G45" s="260"/>
      <c r="H45" s="194">
        <f>F45/E45</f>
        <v>0.6153846153846154</v>
      </c>
      <c r="I45" s="220"/>
      <c r="J45" s="402"/>
      <c r="K45" s="180"/>
      <c r="L45" s="180"/>
      <c r="M45" s="180"/>
      <c r="N45" s="180"/>
      <c r="O45" s="180"/>
      <c r="P45" s="180"/>
    </row>
    <row r="46" spans="1:16" s="181" customFormat="1" ht="18">
      <c r="A46" s="257"/>
      <c r="B46" s="257"/>
      <c r="C46" s="258" t="s">
        <v>10</v>
      </c>
      <c r="D46" s="260"/>
      <c r="E46" s="260"/>
      <c r="F46" s="260"/>
      <c r="G46" s="260"/>
      <c r="H46" s="261"/>
      <c r="I46" s="220"/>
      <c r="J46" s="402"/>
      <c r="K46" s="180"/>
      <c r="L46" s="180"/>
      <c r="M46" s="180"/>
      <c r="N46" s="180"/>
      <c r="O46" s="180"/>
      <c r="P46" s="180"/>
    </row>
    <row r="47" spans="1:16" s="181" customFormat="1" ht="18">
      <c r="A47" s="257"/>
      <c r="B47" s="257"/>
      <c r="C47" s="258" t="s">
        <v>13</v>
      </c>
      <c r="D47" s="259">
        <v>1300000</v>
      </c>
      <c r="E47" s="259">
        <v>1300000</v>
      </c>
      <c r="F47" s="259">
        <v>800000</v>
      </c>
      <c r="G47" s="260"/>
      <c r="H47" s="194">
        <f>F47/E47</f>
        <v>0.6153846153846154</v>
      </c>
      <c r="I47" s="220"/>
      <c r="J47" s="402"/>
      <c r="K47" s="180"/>
      <c r="L47" s="180"/>
      <c r="M47" s="180"/>
      <c r="N47" s="180"/>
      <c r="O47" s="180"/>
      <c r="P47" s="180"/>
    </row>
    <row r="48" spans="1:16" s="181" customFormat="1" ht="18">
      <c r="A48" s="257"/>
      <c r="B48" s="257"/>
      <c r="C48" s="262" t="s">
        <v>9</v>
      </c>
      <c r="D48" s="259">
        <v>800000</v>
      </c>
      <c r="E48" s="259">
        <v>1444000</v>
      </c>
      <c r="F48" s="259">
        <v>1110000</v>
      </c>
      <c r="G48" s="260"/>
      <c r="H48" s="194">
        <f>F48/E48</f>
        <v>0.7686980609418282</v>
      </c>
      <c r="I48" s="220"/>
      <c r="J48" s="504"/>
      <c r="K48" s="508">
        <f>F48</f>
        <v>1110000</v>
      </c>
      <c r="L48" s="180"/>
      <c r="M48" s="180"/>
      <c r="N48" s="180"/>
      <c r="O48" s="180"/>
      <c r="P48" s="180"/>
    </row>
    <row r="49" spans="1:16" s="181" customFormat="1" ht="15.75" customHeight="1">
      <c r="A49" s="257"/>
      <c r="B49" s="263"/>
      <c r="C49" s="262" t="s">
        <v>10</v>
      </c>
      <c r="D49" s="259"/>
      <c r="E49" s="259"/>
      <c r="F49" s="259"/>
      <c r="G49" s="260"/>
      <c r="H49" s="194"/>
      <c r="I49" s="220"/>
      <c r="J49" s="505"/>
      <c r="K49" s="180"/>
      <c r="L49" s="180"/>
      <c r="M49" s="180"/>
      <c r="N49" s="180"/>
      <c r="O49" s="180"/>
      <c r="P49" s="180"/>
    </row>
    <row r="50" spans="1:16" s="181" customFormat="1" ht="13.5" customHeight="1">
      <c r="A50" s="257"/>
      <c r="B50" s="263"/>
      <c r="C50" s="262" t="s">
        <v>13</v>
      </c>
      <c r="D50" s="259">
        <v>800000</v>
      </c>
      <c r="E50" s="259">
        <v>1444000</v>
      </c>
      <c r="F50" s="259">
        <v>1110000</v>
      </c>
      <c r="G50" s="260"/>
      <c r="H50" s="194">
        <f>F50/E50</f>
        <v>0.7686980609418282</v>
      </c>
      <c r="I50" s="220"/>
      <c r="J50" s="505"/>
      <c r="K50" s="180"/>
      <c r="L50" s="180"/>
      <c r="M50" s="180"/>
      <c r="N50" s="180"/>
      <c r="O50" s="180"/>
      <c r="P50" s="180"/>
    </row>
    <row r="51" spans="1:16" s="37" customFormat="1" ht="31.5">
      <c r="A51" s="213"/>
      <c r="B51" s="233">
        <v>70005</v>
      </c>
      <c r="C51" s="234" t="s">
        <v>15</v>
      </c>
      <c r="D51" s="235">
        <f>D52+D53</f>
        <v>495000</v>
      </c>
      <c r="E51" s="235">
        <f>E52+E53</f>
        <v>715000</v>
      </c>
      <c r="F51" s="235">
        <f>F52+F53</f>
        <v>765000</v>
      </c>
      <c r="G51" s="235"/>
      <c r="H51" s="264">
        <f aca="true" t="shared" si="5" ref="H51:H64">F51/E51</f>
        <v>1.06993006993007</v>
      </c>
      <c r="I51" s="221"/>
      <c r="J51" s="506"/>
      <c r="K51" s="190"/>
      <c r="L51" s="190"/>
      <c r="M51" s="190"/>
      <c r="N51" s="190"/>
      <c r="O51" s="190"/>
      <c r="P51" s="190"/>
    </row>
    <row r="52" spans="1:16" s="211" customFormat="1" ht="17.25" customHeight="1">
      <c r="A52" s="222"/>
      <c r="B52" s="191"/>
      <c r="C52" s="192" t="s">
        <v>6</v>
      </c>
      <c r="D52" s="193">
        <v>395000</v>
      </c>
      <c r="E52" s="193">
        <v>415000</v>
      </c>
      <c r="F52" s="193">
        <v>465000</v>
      </c>
      <c r="G52" s="193" t="s">
        <v>189</v>
      </c>
      <c r="H52" s="194">
        <f t="shared" si="5"/>
        <v>1.1204819277108433</v>
      </c>
      <c r="I52" s="237"/>
      <c r="J52" s="402"/>
      <c r="K52" s="180"/>
      <c r="L52" s="180"/>
      <c r="M52" s="180"/>
      <c r="N52" s="180"/>
      <c r="O52" s="180"/>
      <c r="P52" s="180"/>
    </row>
    <row r="53" spans="1:16" s="211" customFormat="1" ht="18" customHeight="1">
      <c r="A53" s="222"/>
      <c r="B53" s="223"/>
      <c r="C53" s="265" t="s">
        <v>9</v>
      </c>
      <c r="D53" s="202">
        <v>100000</v>
      </c>
      <c r="E53" s="202">
        <v>300000</v>
      </c>
      <c r="F53" s="202">
        <v>300000</v>
      </c>
      <c r="G53" s="202"/>
      <c r="H53" s="225">
        <f t="shared" si="5"/>
        <v>1</v>
      </c>
      <c r="I53" s="237"/>
      <c r="J53" s="402"/>
      <c r="K53" s="508">
        <f>F53</f>
        <v>300000</v>
      </c>
      <c r="L53" s="180"/>
      <c r="M53" s="180"/>
      <c r="N53" s="180"/>
      <c r="O53" s="180"/>
      <c r="P53" s="180"/>
    </row>
    <row r="54" spans="1:16" s="211" customFormat="1" ht="21.75" customHeight="1">
      <c r="A54" s="222"/>
      <c r="B54" s="182">
        <v>70021</v>
      </c>
      <c r="C54" s="266" t="s">
        <v>183</v>
      </c>
      <c r="D54" s="185">
        <f>SUM(D55)</f>
        <v>1403000</v>
      </c>
      <c r="E54" s="185">
        <f>SUM(E55)</f>
        <v>1403000</v>
      </c>
      <c r="F54" s="185">
        <f>SUM(F55)</f>
        <v>0</v>
      </c>
      <c r="G54" s="193"/>
      <c r="H54" s="208">
        <f t="shared" si="5"/>
        <v>0</v>
      </c>
      <c r="I54" s="237"/>
      <c r="J54" s="402"/>
      <c r="K54" s="180"/>
      <c r="L54" s="180"/>
      <c r="M54" s="180"/>
      <c r="N54" s="180"/>
      <c r="O54" s="180"/>
      <c r="P54" s="180"/>
    </row>
    <row r="55" spans="1:16" s="211" customFormat="1" ht="15.75" customHeight="1">
      <c r="A55" s="222"/>
      <c r="B55" s="267"/>
      <c r="C55" s="268" t="s">
        <v>9</v>
      </c>
      <c r="D55" s="269">
        <v>1403000</v>
      </c>
      <c r="E55" s="269">
        <v>1403000</v>
      </c>
      <c r="F55" s="269">
        <v>0</v>
      </c>
      <c r="G55" s="269"/>
      <c r="H55" s="270">
        <f t="shared" si="5"/>
        <v>0</v>
      </c>
      <c r="I55" s="237"/>
      <c r="J55" s="402"/>
      <c r="K55" s="508">
        <f>F55</f>
        <v>0</v>
      </c>
      <c r="L55" s="180"/>
      <c r="M55" s="180"/>
      <c r="N55" s="180"/>
      <c r="O55" s="180"/>
      <c r="P55" s="180"/>
    </row>
    <row r="56" spans="1:16" s="37" customFormat="1" ht="18" customHeight="1">
      <c r="A56" s="213"/>
      <c r="B56" s="213">
        <v>70095</v>
      </c>
      <c r="C56" s="184" t="s">
        <v>5</v>
      </c>
      <c r="D56" s="185">
        <f>SUM(D57+D58)</f>
        <v>178000</v>
      </c>
      <c r="E56" s="185">
        <f>E57+E58</f>
        <v>128000</v>
      </c>
      <c r="F56" s="185">
        <f>F58+F57</f>
        <v>80000</v>
      </c>
      <c r="G56" s="185" t="s">
        <v>189</v>
      </c>
      <c r="H56" s="271">
        <f t="shared" si="5"/>
        <v>0.625</v>
      </c>
      <c r="I56" s="221"/>
      <c r="J56" s="506"/>
      <c r="K56" s="190"/>
      <c r="L56" s="190"/>
      <c r="M56" s="190"/>
      <c r="N56" s="190"/>
      <c r="O56" s="190"/>
      <c r="P56" s="190"/>
    </row>
    <row r="57" spans="1:16" s="37" customFormat="1" ht="17.25" customHeight="1">
      <c r="A57" s="182"/>
      <c r="B57" s="191"/>
      <c r="C57" s="192" t="s">
        <v>6</v>
      </c>
      <c r="D57" s="193">
        <v>138000</v>
      </c>
      <c r="E57" s="193">
        <v>78000</v>
      </c>
      <c r="F57" s="193">
        <v>80000</v>
      </c>
      <c r="G57" s="193"/>
      <c r="H57" s="194">
        <f t="shared" si="5"/>
        <v>1.0256410256410255</v>
      </c>
      <c r="I57" s="221"/>
      <c r="J57" s="506"/>
      <c r="K57" s="190"/>
      <c r="L57" s="190"/>
      <c r="M57" s="190"/>
      <c r="N57" s="190"/>
      <c r="O57" s="190"/>
      <c r="P57" s="190"/>
    </row>
    <row r="58" spans="1:16" s="211" customFormat="1" ht="19.5" customHeight="1" thickBot="1">
      <c r="A58" s="272"/>
      <c r="B58" s="272"/>
      <c r="C58" s="273" t="s">
        <v>9</v>
      </c>
      <c r="D58" s="274">
        <v>40000</v>
      </c>
      <c r="E58" s="274">
        <v>50000</v>
      </c>
      <c r="F58" s="274"/>
      <c r="G58" s="275"/>
      <c r="H58" s="276">
        <f t="shared" si="5"/>
        <v>0</v>
      </c>
      <c r="I58" s="237"/>
      <c r="J58" s="402"/>
      <c r="K58" s="508">
        <f>F58</f>
        <v>0</v>
      </c>
      <c r="L58" s="180"/>
      <c r="M58" s="180"/>
      <c r="N58" s="180"/>
      <c r="O58" s="180"/>
      <c r="P58" s="180"/>
    </row>
    <row r="59" spans="1:16" s="283" customFormat="1" ht="18">
      <c r="A59" s="277">
        <v>710</v>
      </c>
      <c r="B59" s="277"/>
      <c r="C59" s="278" t="s">
        <v>45</v>
      </c>
      <c r="D59" s="279">
        <f aca="true" t="shared" si="6" ref="D59:F60">D60</f>
        <v>50000</v>
      </c>
      <c r="E59" s="279">
        <f t="shared" si="6"/>
        <v>110000</v>
      </c>
      <c r="F59" s="279">
        <f t="shared" si="6"/>
        <v>393000</v>
      </c>
      <c r="G59" s="279" t="e">
        <f>G60+#REF!+#REF!</f>
        <v>#REF!</v>
      </c>
      <c r="H59" s="280">
        <f t="shared" si="5"/>
        <v>3.5727272727272728</v>
      </c>
      <c r="I59" s="281"/>
      <c r="J59" s="402"/>
      <c r="K59" s="282"/>
      <c r="L59" s="282"/>
      <c r="M59" s="282"/>
      <c r="N59" s="282"/>
      <c r="O59" s="282"/>
      <c r="P59" s="282"/>
    </row>
    <row r="60" spans="1:16" s="37" customFormat="1" ht="33" customHeight="1">
      <c r="A60" s="284"/>
      <c r="B60" s="285">
        <v>71004</v>
      </c>
      <c r="C60" s="286" t="s">
        <v>144</v>
      </c>
      <c r="D60" s="287">
        <f t="shared" si="6"/>
        <v>50000</v>
      </c>
      <c r="E60" s="287">
        <f t="shared" si="6"/>
        <v>110000</v>
      </c>
      <c r="F60" s="287">
        <f t="shared" si="6"/>
        <v>393000</v>
      </c>
      <c r="G60" s="288"/>
      <c r="H60" s="289">
        <f t="shared" si="5"/>
        <v>3.5727272727272728</v>
      </c>
      <c r="I60" s="221"/>
      <c r="J60" s="506"/>
      <c r="K60" s="190"/>
      <c r="L60" s="190"/>
      <c r="M60" s="190"/>
      <c r="N60" s="190"/>
      <c r="O60" s="190"/>
      <c r="P60" s="190"/>
    </row>
    <row r="61" spans="1:16" s="211" customFormat="1" ht="19.5" customHeight="1">
      <c r="A61" s="290"/>
      <c r="B61" s="290"/>
      <c r="C61" s="291" t="s">
        <v>6</v>
      </c>
      <c r="D61" s="292">
        <v>50000</v>
      </c>
      <c r="E61" s="292">
        <v>110000</v>
      </c>
      <c r="F61" s="292">
        <v>393000</v>
      </c>
      <c r="G61" s="292" t="s">
        <v>192</v>
      </c>
      <c r="H61" s="293">
        <f t="shared" si="5"/>
        <v>3.5727272727272728</v>
      </c>
      <c r="I61" s="237"/>
      <c r="J61" s="402"/>
      <c r="K61" s="180"/>
      <c r="L61" s="180"/>
      <c r="M61" s="180"/>
      <c r="N61" s="180"/>
      <c r="O61" s="180"/>
      <c r="P61" s="180"/>
    </row>
    <row r="62" spans="1:16" s="181" customFormat="1" ht="15.75">
      <c r="A62" s="294">
        <v>750</v>
      </c>
      <c r="B62" s="294"/>
      <c r="C62" s="295" t="s">
        <v>47</v>
      </c>
      <c r="D62" s="296">
        <f>D63+D67+D69+D74</f>
        <v>6828831</v>
      </c>
      <c r="E62" s="296">
        <f>E63+E67+E69+E74</f>
        <v>7088831</v>
      </c>
      <c r="F62" s="296">
        <f>F63+F67+F69+F74</f>
        <v>7197991</v>
      </c>
      <c r="G62" s="296" t="e">
        <f>G63+G67+G69+G74+#REF!</f>
        <v>#REF!</v>
      </c>
      <c r="H62" s="297">
        <f t="shared" si="5"/>
        <v>1.0153988718309126</v>
      </c>
      <c r="I62" s="220"/>
      <c r="J62" s="402"/>
      <c r="K62" s="180"/>
      <c r="L62" s="180"/>
      <c r="M62" s="180"/>
      <c r="N62" s="180"/>
      <c r="O62" s="180"/>
      <c r="P62" s="180"/>
    </row>
    <row r="63" spans="1:16" s="37" customFormat="1" ht="15.75">
      <c r="A63" s="298"/>
      <c r="B63" s="285">
        <v>75011</v>
      </c>
      <c r="C63" s="286" t="s">
        <v>103</v>
      </c>
      <c r="D63" s="287">
        <f>D64</f>
        <v>284688</v>
      </c>
      <c r="E63" s="287">
        <f>E64</f>
        <v>284688</v>
      </c>
      <c r="F63" s="287">
        <f>F64</f>
        <v>311157</v>
      </c>
      <c r="G63" s="287"/>
      <c r="H63" s="299">
        <f t="shared" si="5"/>
        <v>1.0929754678806272</v>
      </c>
      <c r="I63" s="221"/>
      <c r="J63" s="506"/>
      <c r="K63" s="190"/>
      <c r="L63" s="190"/>
      <c r="M63" s="190"/>
      <c r="N63" s="190"/>
      <c r="O63" s="190"/>
      <c r="P63" s="190"/>
    </row>
    <row r="64" spans="1:16" s="211" customFormat="1" ht="15">
      <c r="A64" s="290"/>
      <c r="B64" s="290"/>
      <c r="C64" s="291" t="s">
        <v>6</v>
      </c>
      <c r="D64" s="292">
        <v>284688</v>
      </c>
      <c r="E64" s="292">
        <v>284688</v>
      </c>
      <c r="F64" s="292">
        <v>311157</v>
      </c>
      <c r="G64" s="292"/>
      <c r="H64" s="300">
        <f t="shared" si="5"/>
        <v>1.0929754678806272</v>
      </c>
      <c r="I64" s="237"/>
      <c r="J64" s="402"/>
      <c r="K64" s="180"/>
      <c r="L64" s="180"/>
      <c r="M64" s="180"/>
      <c r="N64" s="180"/>
      <c r="O64" s="180"/>
      <c r="P64" s="180"/>
    </row>
    <row r="65" spans="1:16" s="211" customFormat="1" ht="15">
      <c r="A65" s="290"/>
      <c r="B65" s="290"/>
      <c r="C65" s="291" t="s">
        <v>10</v>
      </c>
      <c r="D65" s="292"/>
      <c r="E65" s="292"/>
      <c r="F65" s="292"/>
      <c r="G65" s="292"/>
      <c r="H65" s="300"/>
      <c r="I65" s="237"/>
      <c r="J65" s="402"/>
      <c r="K65" s="180"/>
      <c r="L65" s="180"/>
      <c r="M65" s="180"/>
      <c r="N65" s="180"/>
      <c r="O65" s="180"/>
      <c r="P65" s="180"/>
    </row>
    <row r="66" spans="1:16" s="1" customFormat="1" ht="15" customHeight="1">
      <c r="A66" s="290"/>
      <c r="B66" s="301"/>
      <c r="C66" s="302" t="s">
        <v>11</v>
      </c>
      <c r="D66" s="303">
        <v>284688</v>
      </c>
      <c r="E66" s="303">
        <v>284688</v>
      </c>
      <c r="F66" s="303">
        <v>311157</v>
      </c>
      <c r="G66" s="303"/>
      <c r="H66" s="304">
        <f>F66/E66</f>
        <v>1.0929754678806272</v>
      </c>
      <c r="I66" s="305"/>
      <c r="J66" s="402"/>
      <c r="K66" s="306"/>
      <c r="L66" s="306"/>
      <c r="M66" s="306"/>
      <c r="N66" s="306"/>
      <c r="O66" s="306"/>
      <c r="P66" s="306"/>
    </row>
    <row r="67" spans="1:16" s="37" customFormat="1" ht="30" customHeight="1">
      <c r="A67" s="290"/>
      <c r="B67" s="307">
        <v>75022</v>
      </c>
      <c r="C67" s="308" t="s">
        <v>49</v>
      </c>
      <c r="D67" s="309">
        <f>D68</f>
        <v>390500</v>
      </c>
      <c r="E67" s="309">
        <f>E68</f>
        <v>390500</v>
      </c>
      <c r="F67" s="309">
        <f>SUM(F68)</f>
        <v>394000</v>
      </c>
      <c r="G67" s="309"/>
      <c r="H67" s="310">
        <f>F67/E67</f>
        <v>1.0089628681177978</v>
      </c>
      <c r="I67" s="221"/>
      <c r="J67" s="506"/>
      <c r="K67" s="190"/>
      <c r="L67" s="190"/>
      <c r="M67" s="190"/>
      <c r="N67" s="190"/>
      <c r="O67" s="190"/>
      <c r="P67" s="190"/>
    </row>
    <row r="68" spans="1:16" s="211" customFormat="1" ht="30.75" customHeight="1">
      <c r="A68" s="290"/>
      <c r="B68" s="301"/>
      <c r="C68" s="302" t="s">
        <v>6</v>
      </c>
      <c r="D68" s="303">
        <v>390500</v>
      </c>
      <c r="E68" s="303">
        <v>390500</v>
      </c>
      <c r="F68" s="303">
        <v>394000</v>
      </c>
      <c r="G68" s="303" t="s">
        <v>189</v>
      </c>
      <c r="H68" s="304">
        <f>F68/E68</f>
        <v>1.0089628681177978</v>
      </c>
      <c r="I68" s="237"/>
      <c r="J68" s="402" t="s">
        <v>252</v>
      </c>
      <c r="K68" s="180"/>
      <c r="L68" s="180"/>
      <c r="M68" s="180"/>
      <c r="N68" s="180"/>
      <c r="O68" s="180"/>
      <c r="P68" s="180"/>
    </row>
    <row r="69" spans="1:16" s="37" customFormat="1" ht="30.75" customHeight="1">
      <c r="A69" s="311"/>
      <c r="B69" s="307">
        <v>75023</v>
      </c>
      <c r="C69" s="308" t="s">
        <v>51</v>
      </c>
      <c r="D69" s="309">
        <f>D70+D73</f>
        <v>6148143</v>
      </c>
      <c r="E69" s="309">
        <f>E70+E73</f>
        <v>6408143</v>
      </c>
      <c r="F69" s="309">
        <f>F70+F73</f>
        <v>6487334</v>
      </c>
      <c r="G69" s="309"/>
      <c r="H69" s="310">
        <f>F69/E69</f>
        <v>1.012357870290972</v>
      </c>
      <c r="I69" s="221"/>
      <c r="J69" s="506"/>
      <c r="K69" s="190"/>
      <c r="L69" s="190"/>
      <c r="M69" s="190"/>
      <c r="N69" s="190"/>
      <c r="O69" s="190"/>
      <c r="P69" s="190"/>
    </row>
    <row r="70" spans="1:19" s="211" customFormat="1" ht="42.75" customHeight="1">
      <c r="A70" s="290" t="s">
        <v>193</v>
      </c>
      <c r="B70" s="290"/>
      <c r="C70" s="291" t="s">
        <v>6</v>
      </c>
      <c r="D70" s="292">
        <v>5873143</v>
      </c>
      <c r="E70" s="312">
        <v>5913143</v>
      </c>
      <c r="F70" s="292">
        <v>6167334</v>
      </c>
      <c r="G70" s="292" t="s">
        <v>189</v>
      </c>
      <c r="H70" s="300">
        <f>F70/E70</f>
        <v>1.0429874603066422</v>
      </c>
      <c r="I70" s="237"/>
      <c r="J70" s="515" t="s">
        <v>256</v>
      </c>
      <c r="K70" s="180"/>
      <c r="L70" s="180"/>
      <c r="M70" s="180"/>
      <c r="N70" s="180"/>
      <c r="O70" s="180"/>
      <c r="P70" s="180"/>
      <c r="S70" s="313"/>
    </row>
    <row r="71" spans="1:16" s="211" customFormat="1" ht="15.75" customHeight="1">
      <c r="A71" s="290"/>
      <c r="B71" s="290"/>
      <c r="C71" s="291" t="s">
        <v>10</v>
      </c>
      <c r="D71" s="292"/>
      <c r="E71" s="292"/>
      <c r="F71" s="292"/>
      <c r="G71" s="292"/>
      <c r="H71" s="300"/>
      <c r="I71" s="237"/>
      <c r="J71" s="402"/>
      <c r="K71" s="180"/>
      <c r="L71" s="180"/>
      <c r="M71" s="180"/>
      <c r="N71" s="180"/>
      <c r="O71" s="180"/>
      <c r="P71" s="180"/>
    </row>
    <row r="72" spans="1:16" s="1" customFormat="1" ht="28.5" customHeight="1">
      <c r="A72" s="290"/>
      <c r="B72" s="290"/>
      <c r="C72" s="291" t="s">
        <v>11</v>
      </c>
      <c r="D72" s="292">
        <v>4438911</v>
      </c>
      <c r="E72" s="292">
        <v>4189111</v>
      </c>
      <c r="F72" s="292">
        <v>4357107</v>
      </c>
      <c r="G72" s="292"/>
      <c r="H72" s="300">
        <f>F72/E72</f>
        <v>1.0401030194711958</v>
      </c>
      <c r="I72" s="305"/>
      <c r="J72" s="402" t="s">
        <v>260</v>
      </c>
      <c r="K72" s="306"/>
      <c r="L72" s="306"/>
      <c r="M72" s="306"/>
      <c r="N72" s="306"/>
      <c r="O72" s="306"/>
      <c r="P72" s="306"/>
    </row>
    <row r="73" spans="1:16" s="1" customFormat="1" ht="27.75" customHeight="1">
      <c r="A73" s="290"/>
      <c r="B73" s="301"/>
      <c r="C73" s="302" t="s">
        <v>9</v>
      </c>
      <c r="D73" s="303">
        <v>275000</v>
      </c>
      <c r="E73" s="303">
        <v>495000</v>
      </c>
      <c r="F73" s="303">
        <v>320000</v>
      </c>
      <c r="G73" s="303">
        <v>19392</v>
      </c>
      <c r="H73" s="304">
        <f>F73/E73</f>
        <v>0.6464646464646465</v>
      </c>
      <c r="I73" s="305"/>
      <c r="J73" s="515" t="s">
        <v>263</v>
      </c>
      <c r="K73" s="509">
        <f>F73</f>
        <v>320000</v>
      </c>
      <c r="L73" s="306"/>
      <c r="M73" s="306"/>
      <c r="N73" s="306"/>
      <c r="O73" s="306"/>
      <c r="P73" s="306"/>
    </row>
    <row r="74" spans="1:16" s="37" customFormat="1" ht="15.75">
      <c r="A74" s="290"/>
      <c r="B74" s="314">
        <v>75095</v>
      </c>
      <c r="C74" s="315" t="s">
        <v>5</v>
      </c>
      <c r="D74" s="316">
        <f>D75</f>
        <v>5500</v>
      </c>
      <c r="E74" s="316">
        <f>E75</f>
        <v>5500</v>
      </c>
      <c r="F74" s="316">
        <f>F75</f>
        <v>5500</v>
      </c>
      <c r="G74" s="316"/>
      <c r="H74" s="317">
        <f aca="true" t="shared" si="7" ref="H74:H88">F74/E74</f>
        <v>1</v>
      </c>
      <c r="I74" s="221"/>
      <c r="J74" s="506"/>
      <c r="K74" s="190"/>
      <c r="L74" s="190"/>
      <c r="M74" s="190"/>
      <c r="N74" s="190"/>
      <c r="O74" s="190"/>
      <c r="P74" s="190"/>
    </row>
    <row r="75" spans="1:16" s="211" customFormat="1" ht="15">
      <c r="A75" s="318" t="s">
        <v>193</v>
      </c>
      <c r="B75" s="318"/>
      <c r="C75" s="319" t="s">
        <v>6</v>
      </c>
      <c r="D75" s="320">
        <v>5500</v>
      </c>
      <c r="E75" s="320">
        <v>5500</v>
      </c>
      <c r="F75" s="320">
        <v>5500</v>
      </c>
      <c r="G75" s="320"/>
      <c r="H75" s="321">
        <f t="shared" si="7"/>
        <v>1</v>
      </c>
      <c r="I75" s="237"/>
      <c r="J75" s="402"/>
      <c r="K75" s="180"/>
      <c r="L75" s="180"/>
      <c r="M75" s="180"/>
      <c r="N75" s="180"/>
      <c r="O75" s="180"/>
      <c r="P75" s="180"/>
    </row>
    <row r="76" spans="1:16" s="1" customFormat="1" ht="31.5">
      <c r="A76" s="322">
        <v>754</v>
      </c>
      <c r="B76" s="322"/>
      <c r="C76" s="323" t="s">
        <v>54</v>
      </c>
      <c r="D76" s="324">
        <f>D87+D92+D94+D77+D83+D98+D79</f>
        <v>791580</v>
      </c>
      <c r="E76" s="324">
        <f>E77+E79+E83+E87+E92+E94+E98</f>
        <v>998482</v>
      </c>
      <c r="F76" s="324">
        <f>F87+F92+F94+F77+F83+F98+F79</f>
        <v>755327</v>
      </c>
      <c r="G76" s="324" t="e">
        <f>G87+G92+G94</f>
        <v>#REF!</v>
      </c>
      <c r="H76" s="325">
        <f t="shared" si="7"/>
        <v>0.7564753295502573</v>
      </c>
      <c r="I76" s="305"/>
      <c r="J76" s="402"/>
      <c r="K76" s="306"/>
      <c r="L76" s="306"/>
      <c r="M76" s="306"/>
      <c r="N76" s="306"/>
      <c r="O76" s="306"/>
      <c r="P76" s="306"/>
    </row>
    <row r="77" spans="1:16" s="1" customFormat="1" ht="15.75">
      <c r="A77" s="326"/>
      <c r="B77" s="327">
        <v>75404</v>
      </c>
      <c r="C77" s="328" t="s">
        <v>194</v>
      </c>
      <c r="D77" s="329">
        <f>SUM(D78:D78)</f>
        <v>0</v>
      </c>
      <c r="E77" s="329">
        <f>SUM(E78:E78)</f>
        <v>2280</v>
      </c>
      <c r="F77" s="329">
        <f>SUM(F78:F78)</f>
        <v>0</v>
      </c>
      <c r="G77" s="330"/>
      <c r="H77" s="300">
        <f t="shared" si="7"/>
        <v>0</v>
      </c>
      <c r="I77" s="305"/>
      <c r="J77" s="402"/>
      <c r="K77" s="306"/>
      <c r="L77" s="306"/>
      <c r="M77" s="306"/>
      <c r="N77" s="306"/>
      <c r="O77" s="306"/>
      <c r="P77" s="306"/>
    </row>
    <row r="78" spans="1:16" s="1" customFormat="1" ht="15.75">
      <c r="A78" s="326"/>
      <c r="B78" s="331"/>
      <c r="C78" s="332" t="s">
        <v>6</v>
      </c>
      <c r="D78" s="333">
        <v>0</v>
      </c>
      <c r="E78" s="333">
        <v>2280</v>
      </c>
      <c r="F78" s="333">
        <v>0</v>
      </c>
      <c r="G78" s="334"/>
      <c r="H78" s="321">
        <f t="shared" si="7"/>
        <v>0</v>
      </c>
      <c r="I78" s="305"/>
      <c r="J78" s="402"/>
      <c r="K78" s="306"/>
      <c r="L78" s="306"/>
      <c r="M78" s="306"/>
      <c r="N78" s="306"/>
      <c r="O78" s="306"/>
      <c r="P78" s="306"/>
    </row>
    <row r="79" spans="1:16" s="1" customFormat="1" ht="15.75">
      <c r="A79" s="335"/>
      <c r="B79" s="335">
        <v>75405</v>
      </c>
      <c r="C79" s="228" t="s">
        <v>195</v>
      </c>
      <c r="D79" s="229">
        <f>D80</f>
        <v>0</v>
      </c>
      <c r="E79" s="229">
        <f>E80</f>
        <v>35000</v>
      </c>
      <c r="F79" s="229">
        <f>F80</f>
        <v>0</v>
      </c>
      <c r="G79" s="229"/>
      <c r="H79" s="336">
        <f t="shared" si="7"/>
        <v>0</v>
      </c>
      <c r="I79" s="305"/>
      <c r="J79" s="402"/>
      <c r="K79" s="306"/>
      <c r="L79" s="306"/>
      <c r="M79" s="306"/>
      <c r="N79" s="306"/>
      <c r="O79" s="306"/>
      <c r="P79" s="306"/>
    </row>
    <row r="80" spans="1:16" s="1" customFormat="1" ht="15.75">
      <c r="A80" s="335"/>
      <c r="B80" s="335"/>
      <c r="C80" s="262" t="s">
        <v>148</v>
      </c>
      <c r="D80" s="259">
        <v>0</v>
      </c>
      <c r="E80" s="259">
        <v>35000</v>
      </c>
      <c r="F80" s="259">
        <v>0</v>
      </c>
      <c r="G80" s="229"/>
      <c r="H80" s="300">
        <f t="shared" si="7"/>
        <v>0</v>
      </c>
      <c r="I80" s="305"/>
      <c r="J80" s="402"/>
      <c r="K80" s="509">
        <f>F80</f>
        <v>0</v>
      </c>
      <c r="L80" s="306"/>
      <c r="M80" s="306"/>
      <c r="N80" s="306"/>
      <c r="O80" s="306"/>
      <c r="P80" s="306"/>
    </row>
    <row r="81" spans="1:16" s="1" customFormat="1" ht="15.75">
      <c r="A81" s="335"/>
      <c r="B81" s="335"/>
      <c r="C81" s="337" t="s">
        <v>10</v>
      </c>
      <c r="D81" s="259"/>
      <c r="E81" s="259"/>
      <c r="F81" s="259"/>
      <c r="G81" s="229"/>
      <c r="H81" s="300"/>
      <c r="I81" s="305"/>
      <c r="J81" s="402"/>
      <c r="K81" s="306"/>
      <c r="L81" s="306"/>
      <c r="M81" s="306"/>
      <c r="N81" s="306"/>
      <c r="O81" s="306"/>
      <c r="P81" s="306"/>
    </row>
    <row r="82" spans="1:16" s="1" customFormat="1" ht="15.75">
      <c r="A82" s="335"/>
      <c r="B82" s="338"/>
      <c r="C82" s="339" t="s">
        <v>13</v>
      </c>
      <c r="D82" s="333">
        <v>0</v>
      </c>
      <c r="E82" s="333">
        <v>35000</v>
      </c>
      <c r="F82" s="333">
        <v>0</v>
      </c>
      <c r="G82" s="252"/>
      <c r="H82" s="321">
        <f t="shared" si="7"/>
        <v>0</v>
      </c>
      <c r="I82" s="305"/>
      <c r="J82" s="402"/>
      <c r="K82" s="306"/>
      <c r="L82" s="306"/>
      <c r="M82" s="306"/>
      <c r="N82" s="306"/>
      <c r="O82" s="306"/>
      <c r="P82" s="306"/>
    </row>
    <row r="83" spans="1:16" ht="33" customHeight="1">
      <c r="A83" s="191"/>
      <c r="B83" s="182">
        <v>75411</v>
      </c>
      <c r="C83" s="266" t="s">
        <v>153</v>
      </c>
      <c r="D83" s="340">
        <f>SUM(D84)</f>
        <v>0</v>
      </c>
      <c r="E83" s="340">
        <f>SUM(E84)</f>
        <v>100000</v>
      </c>
      <c r="F83" s="340">
        <f>SUM(F84)</f>
        <v>0</v>
      </c>
      <c r="G83" s="193"/>
      <c r="H83" s="208">
        <f>F83/E83</f>
        <v>0</v>
      </c>
      <c r="J83" s="402"/>
      <c r="K83" s="155"/>
      <c r="L83" s="155"/>
      <c r="M83" s="155"/>
      <c r="N83" s="155"/>
      <c r="O83" s="155"/>
      <c r="P83" s="155"/>
    </row>
    <row r="84" spans="1:16" ht="15">
      <c r="A84" s="191"/>
      <c r="B84" s="191"/>
      <c r="C84" s="192" t="s">
        <v>9</v>
      </c>
      <c r="D84" s="193">
        <v>0</v>
      </c>
      <c r="E84" s="193">
        <v>100000</v>
      </c>
      <c r="F84" s="193"/>
      <c r="G84" s="193"/>
      <c r="H84" s="341">
        <f t="shared" si="7"/>
        <v>0</v>
      </c>
      <c r="J84" s="402"/>
      <c r="K84" s="510">
        <f>F84</f>
        <v>0</v>
      </c>
      <c r="L84" s="155"/>
      <c r="M84" s="155"/>
      <c r="N84" s="155"/>
      <c r="O84" s="155"/>
      <c r="P84" s="155"/>
    </row>
    <row r="85" spans="1:16" ht="15">
      <c r="A85" s="191"/>
      <c r="B85" s="191"/>
      <c r="C85" s="192" t="s">
        <v>10</v>
      </c>
      <c r="D85" s="193"/>
      <c r="E85" s="193"/>
      <c r="F85" s="193"/>
      <c r="G85" s="193"/>
      <c r="H85" s="342"/>
      <c r="J85" s="402"/>
      <c r="K85" s="155"/>
      <c r="L85" s="155"/>
      <c r="M85" s="155"/>
      <c r="N85" s="155"/>
      <c r="O85" s="155"/>
      <c r="P85" s="155"/>
    </row>
    <row r="86" spans="1:16" ht="15">
      <c r="A86" s="191"/>
      <c r="B86" s="191"/>
      <c r="C86" s="192" t="s">
        <v>13</v>
      </c>
      <c r="D86" s="193">
        <v>0</v>
      </c>
      <c r="E86" s="193">
        <v>100000</v>
      </c>
      <c r="F86" s="193"/>
      <c r="G86" s="193"/>
      <c r="H86" s="341">
        <f t="shared" si="7"/>
        <v>0</v>
      </c>
      <c r="J86" s="402"/>
      <c r="K86" s="155"/>
      <c r="L86" s="155"/>
      <c r="M86" s="155"/>
      <c r="N86" s="155"/>
      <c r="O86" s="155"/>
      <c r="P86" s="155"/>
    </row>
    <row r="87" spans="1:16" s="37" customFormat="1" ht="15.75">
      <c r="A87" s="311"/>
      <c r="B87" s="307">
        <v>75412</v>
      </c>
      <c r="C87" s="308" t="s">
        <v>14</v>
      </c>
      <c r="D87" s="309">
        <f>D88+D91</f>
        <v>166920</v>
      </c>
      <c r="E87" s="309">
        <f>E88+E91</f>
        <v>166920</v>
      </c>
      <c r="F87" s="309">
        <f>F88+F91</f>
        <v>173600</v>
      </c>
      <c r="G87" s="343" t="e">
        <f>G88+#REF!</f>
        <v>#REF!</v>
      </c>
      <c r="H87" s="310">
        <f t="shared" si="7"/>
        <v>1.0400191708602924</v>
      </c>
      <c r="I87" s="221"/>
      <c r="J87" s="506"/>
      <c r="K87" s="190"/>
      <c r="L87" s="190"/>
      <c r="M87" s="190"/>
      <c r="N87" s="190"/>
      <c r="O87" s="190"/>
      <c r="P87" s="190"/>
    </row>
    <row r="88" spans="1:16" s="211" customFormat="1" ht="15">
      <c r="A88" s="290"/>
      <c r="B88" s="290"/>
      <c r="C88" s="291" t="s">
        <v>6</v>
      </c>
      <c r="D88" s="292">
        <v>131920</v>
      </c>
      <c r="E88" s="292">
        <v>134178</v>
      </c>
      <c r="F88" s="292">
        <v>138600</v>
      </c>
      <c r="G88" s="292"/>
      <c r="H88" s="300">
        <f t="shared" si="7"/>
        <v>1.0329562223315298</v>
      </c>
      <c r="I88" s="237"/>
      <c r="J88" s="402"/>
      <c r="K88" s="180"/>
      <c r="L88" s="180"/>
      <c r="M88" s="180"/>
      <c r="N88" s="180"/>
      <c r="O88" s="180"/>
      <c r="P88" s="180"/>
    </row>
    <row r="89" spans="1:16" s="211" customFormat="1" ht="17.25" customHeight="1">
      <c r="A89" s="290"/>
      <c r="B89" s="290"/>
      <c r="C89" s="291" t="s">
        <v>10</v>
      </c>
      <c r="D89" s="292"/>
      <c r="E89" s="292"/>
      <c r="F89" s="292"/>
      <c r="G89" s="292"/>
      <c r="H89" s="300"/>
      <c r="I89" s="237"/>
      <c r="J89" s="402"/>
      <c r="K89" s="180"/>
      <c r="L89" s="180"/>
      <c r="M89" s="180"/>
      <c r="N89" s="180"/>
      <c r="O89" s="180"/>
      <c r="P89" s="180"/>
    </row>
    <row r="90" spans="1:16" s="1" customFormat="1" ht="17.25" customHeight="1">
      <c r="A90" s="290"/>
      <c r="B90" s="290"/>
      <c r="C90" s="291" t="s">
        <v>11</v>
      </c>
      <c r="D90" s="292">
        <v>700</v>
      </c>
      <c r="E90" s="292">
        <v>700</v>
      </c>
      <c r="F90" s="292">
        <v>700</v>
      </c>
      <c r="G90" s="292" t="s">
        <v>189</v>
      </c>
      <c r="H90" s="300">
        <f aca="true" t="shared" si="8" ref="H90:H95">F90/E90</f>
        <v>1</v>
      </c>
      <c r="I90" s="305"/>
      <c r="J90" s="402"/>
      <c r="K90" s="306"/>
      <c r="L90" s="306"/>
      <c r="M90" s="306"/>
      <c r="N90" s="306"/>
      <c r="O90" s="306"/>
      <c r="P90" s="306"/>
    </row>
    <row r="91" spans="1:16" s="1" customFormat="1" ht="16.5" customHeight="1">
      <c r="A91" s="290"/>
      <c r="B91" s="301"/>
      <c r="C91" s="302" t="s">
        <v>9</v>
      </c>
      <c r="D91" s="303">
        <v>35000</v>
      </c>
      <c r="E91" s="303">
        <v>32742</v>
      </c>
      <c r="F91" s="303">
        <v>35000</v>
      </c>
      <c r="G91" s="303"/>
      <c r="H91" s="304">
        <f t="shared" si="8"/>
        <v>1.0689634109095352</v>
      </c>
      <c r="I91" s="305"/>
      <c r="J91" s="515" t="s">
        <v>196</v>
      </c>
      <c r="K91" s="509">
        <f>F91</f>
        <v>35000</v>
      </c>
      <c r="L91" s="306"/>
      <c r="M91" s="306"/>
      <c r="N91" s="306"/>
      <c r="O91" s="306"/>
      <c r="P91" s="306"/>
    </row>
    <row r="92" spans="1:16" s="37" customFormat="1" ht="15.75">
      <c r="A92" s="311"/>
      <c r="B92" s="314">
        <v>75414</v>
      </c>
      <c r="C92" s="315" t="s">
        <v>28</v>
      </c>
      <c r="D92" s="316">
        <f>D93</f>
        <v>38000</v>
      </c>
      <c r="E92" s="316">
        <f>E93</f>
        <v>38000</v>
      </c>
      <c r="F92" s="316">
        <f>F93</f>
        <v>38600</v>
      </c>
      <c r="G92" s="316"/>
      <c r="H92" s="344">
        <f t="shared" si="8"/>
        <v>1.0157894736842106</v>
      </c>
      <c r="I92" s="221"/>
      <c r="J92" s="506"/>
      <c r="K92" s="190"/>
      <c r="L92" s="190"/>
      <c r="M92" s="190"/>
      <c r="N92" s="190"/>
      <c r="O92" s="190"/>
      <c r="P92" s="190"/>
    </row>
    <row r="93" spans="1:16" s="211" customFormat="1" ht="15">
      <c r="A93" s="290"/>
      <c r="B93" s="301"/>
      <c r="C93" s="302" t="s">
        <v>6</v>
      </c>
      <c r="D93" s="303">
        <v>38000</v>
      </c>
      <c r="E93" s="303">
        <v>38000</v>
      </c>
      <c r="F93" s="303">
        <v>38600</v>
      </c>
      <c r="G93" s="303" t="s">
        <v>189</v>
      </c>
      <c r="H93" s="304">
        <f t="shared" si="8"/>
        <v>1.0157894736842106</v>
      </c>
      <c r="I93" s="237"/>
      <c r="J93" s="402"/>
      <c r="K93" s="180"/>
      <c r="L93" s="180"/>
      <c r="M93" s="180"/>
      <c r="N93" s="180"/>
      <c r="O93" s="180"/>
      <c r="P93" s="180"/>
    </row>
    <row r="94" spans="1:16" s="37" customFormat="1" ht="15.75">
      <c r="A94" s="311"/>
      <c r="B94" s="314">
        <v>75416</v>
      </c>
      <c r="C94" s="315" t="s">
        <v>58</v>
      </c>
      <c r="D94" s="316">
        <f>SUM(D95:D95)</f>
        <v>526660</v>
      </c>
      <c r="E94" s="316">
        <f>SUM(E95)</f>
        <v>526660</v>
      </c>
      <c r="F94" s="316">
        <f>SUM(F95)</f>
        <v>533127</v>
      </c>
      <c r="G94" s="316"/>
      <c r="H94" s="317">
        <f t="shared" si="8"/>
        <v>1.01227926935784</v>
      </c>
      <c r="I94" s="221"/>
      <c r="J94" s="506"/>
      <c r="K94" s="190"/>
      <c r="L94" s="190"/>
      <c r="M94" s="190"/>
      <c r="N94" s="190"/>
      <c r="O94" s="190"/>
      <c r="P94" s="190"/>
    </row>
    <row r="95" spans="1:16" s="211" customFormat="1" ht="22.5">
      <c r="A95" s="290"/>
      <c r="B95" s="290"/>
      <c r="C95" s="291" t="s">
        <v>6</v>
      </c>
      <c r="D95" s="292">
        <v>526660</v>
      </c>
      <c r="E95" s="292">
        <v>526660</v>
      </c>
      <c r="F95" s="292">
        <v>533127</v>
      </c>
      <c r="G95" s="292"/>
      <c r="H95" s="300">
        <f t="shared" si="8"/>
        <v>1.01227926935784</v>
      </c>
      <c r="I95" s="237"/>
      <c r="J95" s="515" t="s">
        <v>197</v>
      </c>
      <c r="K95" s="180"/>
      <c r="L95" s="180"/>
      <c r="M95" s="180"/>
      <c r="N95" s="180"/>
      <c r="O95" s="180"/>
      <c r="P95" s="180"/>
    </row>
    <row r="96" spans="1:16" s="211" customFormat="1" ht="12.75" customHeight="1">
      <c r="A96" s="290"/>
      <c r="B96" s="290"/>
      <c r="C96" s="291" t="s">
        <v>10</v>
      </c>
      <c r="D96" s="292"/>
      <c r="E96" s="292"/>
      <c r="F96" s="292"/>
      <c r="G96" s="292"/>
      <c r="H96" s="300"/>
      <c r="I96" s="237"/>
      <c r="J96" s="402"/>
      <c r="K96" s="180"/>
      <c r="L96" s="180"/>
      <c r="M96" s="180"/>
      <c r="N96" s="180"/>
      <c r="O96" s="180"/>
      <c r="P96" s="180"/>
    </row>
    <row r="97" spans="1:16" s="211" customFormat="1" ht="15.75" customHeight="1">
      <c r="A97" s="290"/>
      <c r="B97" s="301"/>
      <c r="C97" s="302" t="s">
        <v>11</v>
      </c>
      <c r="D97" s="303">
        <v>526660</v>
      </c>
      <c r="E97" s="303">
        <v>440942</v>
      </c>
      <c r="F97" s="303">
        <v>454470</v>
      </c>
      <c r="G97" s="303" t="s">
        <v>189</v>
      </c>
      <c r="H97" s="304">
        <f aca="true" t="shared" si="9" ref="H97:H115">F97/E97</f>
        <v>1.0306797719427951</v>
      </c>
      <c r="I97" s="237"/>
      <c r="J97" s="402"/>
      <c r="K97" s="180"/>
      <c r="L97" s="180"/>
      <c r="M97" s="180"/>
      <c r="N97" s="180"/>
      <c r="O97" s="180"/>
      <c r="P97" s="180"/>
    </row>
    <row r="98" spans="1:16" s="211" customFormat="1" ht="15.75" customHeight="1">
      <c r="A98" s="345"/>
      <c r="B98" s="346">
        <v>75495</v>
      </c>
      <c r="C98" s="347" t="s">
        <v>5</v>
      </c>
      <c r="D98" s="348">
        <f>SUM(D99:D100)</f>
        <v>60000</v>
      </c>
      <c r="E98" s="348">
        <f>SUM(E99:E100)</f>
        <v>129622</v>
      </c>
      <c r="F98" s="348">
        <f>SUM(F99:F100)</f>
        <v>10000</v>
      </c>
      <c r="G98" s="292"/>
      <c r="H98" s="300">
        <f t="shared" si="9"/>
        <v>0.0771473978182716</v>
      </c>
      <c r="I98" s="237"/>
      <c r="J98" s="402"/>
      <c r="K98" s="180"/>
      <c r="L98" s="180"/>
      <c r="M98" s="180"/>
      <c r="N98" s="180"/>
      <c r="O98" s="180"/>
      <c r="P98" s="180"/>
    </row>
    <row r="99" spans="1:16" s="211" customFormat="1" ht="17.25" customHeight="1">
      <c r="A99" s="345"/>
      <c r="B99" s="346"/>
      <c r="C99" s="349" t="s">
        <v>6</v>
      </c>
      <c r="D99" s="292">
        <v>0</v>
      </c>
      <c r="E99" s="292">
        <v>29622</v>
      </c>
      <c r="F99" s="292">
        <v>0</v>
      </c>
      <c r="G99" s="292"/>
      <c r="H99" s="300">
        <f t="shared" si="9"/>
        <v>0</v>
      </c>
      <c r="I99" s="237"/>
      <c r="J99" s="402"/>
      <c r="K99" s="180"/>
      <c r="L99" s="180"/>
      <c r="M99" s="180"/>
      <c r="N99" s="180"/>
      <c r="O99" s="180"/>
      <c r="P99" s="180"/>
    </row>
    <row r="100" spans="1:16" s="211" customFormat="1" ht="14.25" customHeight="1" thickBot="1">
      <c r="A100" s="345"/>
      <c r="B100" s="345"/>
      <c r="C100" s="350" t="s">
        <v>148</v>
      </c>
      <c r="D100" s="292">
        <v>60000</v>
      </c>
      <c r="E100" s="292">
        <v>100000</v>
      </c>
      <c r="F100" s="292">
        <v>10000</v>
      </c>
      <c r="G100" s="292"/>
      <c r="H100" s="300">
        <f t="shared" si="9"/>
        <v>0.1</v>
      </c>
      <c r="I100" s="237"/>
      <c r="J100" s="402"/>
      <c r="K100" s="508">
        <f>F100</f>
        <v>10000</v>
      </c>
      <c r="L100" s="180"/>
      <c r="M100" s="180"/>
      <c r="N100" s="180"/>
      <c r="O100" s="180"/>
      <c r="P100" s="180"/>
    </row>
    <row r="101" spans="1:16" s="211" customFormat="1" ht="43.5" customHeight="1">
      <c r="A101" s="351">
        <v>756</v>
      </c>
      <c r="B101" s="352"/>
      <c r="C101" s="353" t="s">
        <v>198</v>
      </c>
      <c r="D101" s="354">
        <f>D102</f>
        <v>210340</v>
      </c>
      <c r="E101" s="354">
        <f>E102</f>
        <v>210340</v>
      </c>
      <c r="F101" s="355">
        <f>F102</f>
        <v>186240</v>
      </c>
      <c r="G101" s="356"/>
      <c r="H101" s="357">
        <f t="shared" si="9"/>
        <v>0.885423599885899</v>
      </c>
      <c r="I101" s="237"/>
      <c r="J101" s="402"/>
      <c r="K101" s="180"/>
      <c r="L101" s="180"/>
      <c r="M101" s="180"/>
      <c r="N101" s="180"/>
      <c r="O101" s="180"/>
      <c r="P101" s="180"/>
    </row>
    <row r="102" spans="1:16" s="211" customFormat="1" ht="27" customHeight="1">
      <c r="A102" s="345"/>
      <c r="B102" s="358">
        <v>75647</v>
      </c>
      <c r="C102" s="347" t="s">
        <v>199</v>
      </c>
      <c r="D102" s="348">
        <f>SUM(D103)</f>
        <v>210340</v>
      </c>
      <c r="E102" s="348">
        <f>SUM(E103)</f>
        <v>210340</v>
      </c>
      <c r="F102" s="348">
        <f>SUM(F103)</f>
        <v>186240</v>
      </c>
      <c r="G102" s="292"/>
      <c r="H102" s="300">
        <f t="shared" si="9"/>
        <v>0.885423599885899</v>
      </c>
      <c r="I102" s="237"/>
      <c r="J102" s="402"/>
      <c r="K102" s="180"/>
      <c r="L102" s="180"/>
      <c r="M102" s="180"/>
      <c r="N102" s="180"/>
      <c r="O102" s="180"/>
      <c r="P102" s="180"/>
    </row>
    <row r="103" spans="1:16" s="211" customFormat="1" ht="21" customHeight="1">
      <c r="A103" s="345"/>
      <c r="B103" s="345"/>
      <c r="C103" s="350" t="s">
        <v>6</v>
      </c>
      <c r="D103" s="292">
        <v>210340</v>
      </c>
      <c r="E103" s="292">
        <v>210340</v>
      </c>
      <c r="F103" s="292">
        <v>186240</v>
      </c>
      <c r="G103" s="292"/>
      <c r="H103" s="300">
        <f t="shared" si="9"/>
        <v>0.885423599885899</v>
      </c>
      <c r="I103" s="237"/>
      <c r="J103" s="515" t="s">
        <v>253</v>
      </c>
      <c r="K103" s="180"/>
      <c r="L103" s="180"/>
      <c r="M103" s="180"/>
      <c r="N103" s="180"/>
      <c r="O103" s="180"/>
      <c r="P103" s="180"/>
    </row>
    <row r="104" spans="1:16" s="211" customFormat="1" ht="14.25" customHeight="1">
      <c r="A104" s="345"/>
      <c r="B104" s="345"/>
      <c r="C104" s="350" t="s">
        <v>10</v>
      </c>
      <c r="D104" s="292"/>
      <c r="E104" s="292"/>
      <c r="F104" s="292"/>
      <c r="G104" s="292"/>
      <c r="H104" s="300"/>
      <c r="I104" s="237"/>
      <c r="J104" s="402"/>
      <c r="K104" s="180"/>
      <c r="L104" s="180"/>
      <c r="M104" s="180"/>
      <c r="N104" s="180"/>
      <c r="O104" s="180"/>
      <c r="P104" s="180"/>
    </row>
    <row r="105" spans="1:16" s="211" customFormat="1" ht="15.75" customHeight="1" thickBot="1">
      <c r="A105" s="345"/>
      <c r="B105" s="345"/>
      <c r="C105" s="350" t="s">
        <v>11</v>
      </c>
      <c r="D105" s="292">
        <v>41900</v>
      </c>
      <c r="E105" s="292">
        <v>47100</v>
      </c>
      <c r="F105" s="292">
        <v>55000</v>
      </c>
      <c r="G105" s="292"/>
      <c r="H105" s="300">
        <f t="shared" si="9"/>
        <v>1.167728237791932</v>
      </c>
      <c r="I105" s="237"/>
      <c r="J105" s="402" t="s">
        <v>261</v>
      </c>
      <c r="K105" s="180"/>
      <c r="L105" s="180"/>
      <c r="M105" s="180"/>
      <c r="N105" s="180"/>
      <c r="O105" s="180"/>
      <c r="P105" s="180"/>
    </row>
    <row r="106" spans="1:16" s="181" customFormat="1" ht="26.25" customHeight="1">
      <c r="A106" s="212">
        <v>757</v>
      </c>
      <c r="B106" s="254"/>
      <c r="C106" s="205" t="s">
        <v>122</v>
      </c>
      <c r="D106" s="206">
        <f>D107+D111</f>
        <v>1920576</v>
      </c>
      <c r="E106" s="206">
        <f>E107+E111</f>
        <v>1720576</v>
      </c>
      <c r="F106" s="206">
        <f>F107+F111</f>
        <v>1913129</v>
      </c>
      <c r="G106" s="206"/>
      <c r="H106" s="207">
        <f t="shared" si="9"/>
        <v>1.1119119411173932</v>
      </c>
      <c r="I106" s="220"/>
      <c r="J106" s="402"/>
      <c r="K106" s="180"/>
      <c r="L106" s="180"/>
      <c r="M106" s="180"/>
      <c r="N106" s="180"/>
      <c r="O106" s="180"/>
      <c r="P106" s="180"/>
    </row>
    <row r="107" spans="1:16" s="37" customFormat="1" ht="48.75" customHeight="1">
      <c r="A107" s="182"/>
      <c r="B107" s="182">
        <v>75702</v>
      </c>
      <c r="C107" s="184" t="s">
        <v>200</v>
      </c>
      <c r="D107" s="185">
        <f>SUM(D108)</f>
        <v>1020185</v>
      </c>
      <c r="E107" s="185">
        <f>E108</f>
        <v>820185</v>
      </c>
      <c r="F107" s="185">
        <f>F108</f>
        <v>1555001</v>
      </c>
      <c r="G107" s="185"/>
      <c r="H107" s="208">
        <f t="shared" si="9"/>
        <v>1.8959149460182763</v>
      </c>
      <c r="I107" s="221"/>
      <c r="J107" s="506"/>
      <c r="K107" s="190"/>
      <c r="L107" s="190"/>
      <c r="M107" s="190"/>
      <c r="N107" s="190"/>
      <c r="O107" s="190"/>
      <c r="P107" s="190"/>
    </row>
    <row r="108" spans="1:16" s="211" customFormat="1" ht="18.75" customHeight="1">
      <c r="A108" s="191"/>
      <c r="B108" s="191"/>
      <c r="C108" s="192" t="s">
        <v>6</v>
      </c>
      <c r="D108" s="193">
        <v>1020185</v>
      </c>
      <c r="E108" s="193">
        <v>820185</v>
      </c>
      <c r="F108" s="193">
        <v>1555001</v>
      </c>
      <c r="G108" s="193" t="s">
        <v>189</v>
      </c>
      <c r="H108" s="194">
        <f t="shared" si="9"/>
        <v>1.8959149460182763</v>
      </c>
      <c r="I108" s="237"/>
      <c r="J108" s="402"/>
      <c r="K108" s="180"/>
      <c r="L108" s="180"/>
      <c r="M108" s="180"/>
      <c r="N108" s="180"/>
      <c r="O108" s="180"/>
      <c r="P108" s="180"/>
    </row>
    <row r="109" spans="1:16" s="211" customFormat="1" ht="15.75" customHeight="1">
      <c r="A109" s="191"/>
      <c r="B109" s="191"/>
      <c r="C109" s="192" t="s">
        <v>10</v>
      </c>
      <c r="D109" s="193"/>
      <c r="E109" s="193"/>
      <c r="F109" s="193"/>
      <c r="G109" s="193"/>
      <c r="H109" s="194"/>
      <c r="I109" s="237"/>
      <c r="J109" s="402"/>
      <c r="K109" s="180"/>
      <c r="L109" s="180"/>
      <c r="M109" s="180"/>
      <c r="N109" s="180"/>
      <c r="O109" s="180"/>
      <c r="P109" s="180"/>
    </row>
    <row r="110" spans="1:16" s="211" customFormat="1" ht="21" customHeight="1">
      <c r="A110" s="191"/>
      <c r="B110" s="191"/>
      <c r="C110" s="192" t="s">
        <v>173</v>
      </c>
      <c r="D110" s="193">
        <v>120000</v>
      </c>
      <c r="E110" s="193">
        <v>24000</v>
      </c>
      <c r="F110" s="193">
        <v>1555001</v>
      </c>
      <c r="G110" s="193"/>
      <c r="H110" s="194">
        <f t="shared" si="9"/>
        <v>64.79170833333333</v>
      </c>
      <c r="I110" s="237"/>
      <c r="J110" s="402"/>
      <c r="K110" s="180"/>
      <c r="L110" s="180"/>
      <c r="M110" s="180"/>
      <c r="N110" s="180"/>
      <c r="O110" s="180"/>
      <c r="P110" s="180"/>
    </row>
    <row r="111" spans="1:16" s="37" customFormat="1" ht="64.5" customHeight="1">
      <c r="A111" s="213"/>
      <c r="B111" s="233">
        <v>75704</v>
      </c>
      <c r="C111" s="234" t="s">
        <v>123</v>
      </c>
      <c r="D111" s="235">
        <f>D112</f>
        <v>900391</v>
      </c>
      <c r="E111" s="235">
        <f>E112</f>
        <v>900391</v>
      </c>
      <c r="F111" s="359">
        <f>F112</f>
        <v>358128</v>
      </c>
      <c r="G111" s="235"/>
      <c r="H111" s="236">
        <f t="shared" si="9"/>
        <v>0.39774720093825905</v>
      </c>
      <c r="I111" s="221"/>
      <c r="J111" s="506"/>
      <c r="K111" s="190"/>
      <c r="L111" s="190"/>
      <c r="M111" s="190"/>
      <c r="N111" s="190"/>
      <c r="O111" s="190"/>
      <c r="P111" s="190"/>
    </row>
    <row r="112" spans="1:16" s="211" customFormat="1" ht="17.25" customHeight="1">
      <c r="A112" s="222"/>
      <c r="B112" s="191"/>
      <c r="C112" s="192" t="s">
        <v>6</v>
      </c>
      <c r="D112" s="193">
        <v>900391</v>
      </c>
      <c r="E112" s="193">
        <v>900391</v>
      </c>
      <c r="F112" s="13">
        <v>358128</v>
      </c>
      <c r="G112" s="193"/>
      <c r="H112" s="194">
        <f t="shared" si="9"/>
        <v>0.39774720093825905</v>
      </c>
      <c r="I112" s="237"/>
      <c r="J112" s="402"/>
      <c r="K112" s="180"/>
      <c r="L112" s="180"/>
      <c r="M112" s="180"/>
      <c r="N112" s="180"/>
      <c r="O112" s="180"/>
      <c r="P112" s="180"/>
    </row>
    <row r="113" spans="1:16" s="211" customFormat="1" ht="18" customHeight="1">
      <c r="A113" s="191"/>
      <c r="B113" s="191"/>
      <c r="C113" s="192" t="s">
        <v>10</v>
      </c>
      <c r="D113" s="193"/>
      <c r="E113" s="193"/>
      <c r="F113" s="193"/>
      <c r="G113" s="193"/>
      <c r="H113" s="194"/>
      <c r="I113" s="237"/>
      <c r="J113" s="402"/>
      <c r="K113" s="180"/>
      <c r="L113" s="180"/>
      <c r="M113" s="180"/>
      <c r="N113" s="180"/>
      <c r="O113" s="180"/>
      <c r="P113" s="180"/>
    </row>
    <row r="114" spans="1:16" s="211" customFormat="1" ht="18.75" customHeight="1" thickBot="1">
      <c r="A114" s="191"/>
      <c r="B114" s="191"/>
      <c r="C114" s="192" t="s">
        <v>201</v>
      </c>
      <c r="D114" s="193"/>
      <c r="E114" s="193"/>
      <c r="F114" s="193">
        <v>358128</v>
      </c>
      <c r="G114" s="193"/>
      <c r="H114" s="194"/>
      <c r="I114" s="237"/>
      <c r="J114" s="402"/>
      <c r="K114" s="180"/>
      <c r="L114" s="180"/>
      <c r="M114" s="180"/>
      <c r="N114" s="180"/>
      <c r="O114" s="180"/>
      <c r="P114" s="180"/>
    </row>
    <row r="115" spans="1:16" s="211" customFormat="1" ht="26.25" customHeight="1">
      <c r="A115" s="212">
        <v>758</v>
      </c>
      <c r="B115" s="254"/>
      <c r="C115" s="205" t="s">
        <v>29</v>
      </c>
      <c r="D115" s="206">
        <f aca="true" t="shared" si="10" ref="D115:F116">D116</f>
        <v>652000</v>
      </c>
      <c r="E115" s="206">
        <f t="shared" si="10"/>
        <v>63898</v>
      </c>
      <c r="F115" s="206">
        <f t="shared" si="10"/>
        <v>217308</v>
      </c>
      <c r="G115" s="206"/>
      <c r="H115" s="207">
        <f t="shared" si="9"/>
        <v>3.400857616826818</v>
      </c>
      <c r="I115" s="237"/>
      <c r="J115" s="402"/>
      <c r="K115" s="180"/>
      <c r="L115" s="180"/>
      <c r="M115" s="180"/>
      <c r="N115" s="180"/>
      <c r="O115" s="180"/>
      <c r="P115" s="180"/>
    </row>
    <row r="116" spans="1:16" s="37" customFormat="1" ht="19.5" customHeight="1">
      <c r="A116" s="213"/>
      <c r="B116" s="233">
        <v>75818</v>
      </c>
      <c r="C116" s="234" t="s">
        <v>30</v>
      </c>
      <c r="D116" s="235">
        <f t="shared" si="10"/>
        <v>652000</v>
      </c>
      <c r="E116" s="235">
        <f t="shared" si="10"/>
        <v>63898</v>
      </c>
      <c r="F116" s="235">
        <f t="shared" si="10"/>
        <v>217308</v>
      </c>
      <c r="G116" s="235"/>
      <c r="H116" s="264">
        <f>F116/E116</f>
        <v>3.400857616826818</v>
      </c>
      <c r="I116" s="221"/>
      <c r="J116" s="506"/>
      <c r="K116" s="190"/>
      <c r="L116" s="190"/>
      <c r="M116" s="190"/>
      <c r="N116" s="190"/>
      <c r="O116" s="190"/>
      <c r="P116" s="190"/>
    </row>
    <row r="117" spans="1:16" s="211" customFormat="1" ht="24" customHeight="1" thickBot="1">
      <c r="A117" s="191"/>
      <c r="B117" s="191"/>
      <c r="C117" s="360" t="s">
        <v>6</v>
      </c>
      <c r="D117" s="361">
        <v>652000</v>
      </c>
      <c r="E117" s="361">
        <v>63898</v>
      </c>
      <c r="F117" s="361">
        <v>217308</v>
      </c>
      <c r="G117" s="209"/>
      <c r="H117" s="210">
        <f>F117/E117</f>
        <v>3.400857616826818</v>
      </c>
      <c r="I117" s="237"/>
      <c r="J117" s="402"/>
      <c r="K117" s="180"/>
      <c r="L117" s="180"/>
      <c r="M117" s="180"/>
      <c r="N117" s="180"/>
      <c r="O117" s="180"/>
      <c r="P117" s="180"/>
    </row>
    <row r="118" spans="1:16" s="181" customFormat="1" ht="43.5" customHeight="1">
      <c r="A118" s="212">
        <v>801</v>
      </c>
      <c r="B118" s="254"/>
      <c r="C118" s="205" t="s">
        <v>16</v>
      </c>
      <c r="D118" s="206">
        <f>SUM(D119+D125+D131+D135+D139+D144+D147+D151)</f>
        <v>28212000</v>
      </c>
      <c r="E118" s="206">
        <f>E119+E125+E131+E135+E139+E144+E147+E151</f>
        <v>29693177</v>
      </c>
      <c r="F118" s="206">
        <f>F119+F125+F131+F135+F139+F147+F151+F144</f>
        <v>29318200</v>
      </c>
      <c r="G118" s="176"/>
      <c r="H118" s="177">
        <f>F118/E118</f>
        <v>0.9873716106565491</v>
      </c>
      <c r="I118" s="220"/>
      <c r="J118" s="402"/>
      <c r="K118" s="180"/>
      <c r="L118" s="180"/>
      <c r="M118" s="180"/>
      <c r="N118" s="180"/>
      <c r="O118" s="180"/>
      <c r="P118" s="180"/>
    </row>
    <row r="119" spans="1:16" s="37" customFormat="1" ht="21.75" customHeight="1">
      <c r="A119" s="182"/>
      <c r="B119" s="362">
        <v>80101</v>
      </c>
      <c r="C119" s="184" t="s">
        <v>17</v>
      </c>
      <c r="D119" s="185">
        <f>D120+D124</f>
        <v>13400800</v>
      </c>
      <c r="E119" s="185">
        <f>E120+E124</f>
        <v>14140170</v>
      </c>
      <c r="F119" s="185">
        <f>F120+F124</f>
        <v>14215400</v>
      </c>
      <c r="G119" s="185"/>
      <c r="H119" s="208">
        <f>F119/E119</f>
        <v>1.0053203037870124</v>
      </c>
      <c r="I119" s="221"/>
      <c r="J119" s="506"/>
      <c r="K119" s="190"/>
      <c r="L119" s="190"/>
      <c r="M119" s="190"/>
      <c r="N119" s="190"/>
      <c r="O119" s="190"/>
      <c r="P119" s="190"/>
    </row>
    <row r="120" spans="1:16" s="211" customFormat="1" ht="18.75" customHeight="1">
      <c r="A120" s="191"/>
      <c r="B120" s="191"/>
      <c r="C120" s="192" t="s">
        <v>6</v>
      </c>
      <c r="D120" s="193">
        <v>12435800</v>
      </c>
      <c r="E120" s="193">
        <v>13740170</v>
      </c>
      <c r="F120" s="193">
        <v>13715400</v>
      </c>
      <c r="G120" s="193" t="s">
        <v>189</v>
      </c>
      <c r="H120" s="194">
        <f>F120/E120</f>
        <v>0.9981972566569409</v>
      </c>
      <c r="I120" s="363"/>
      <c r="J120" s="402"/>
      <c r="K120" s="180"/>
      <c r="L120" s="180"/>
      <c r="M120" s="180"/>
      <c r="N120" s="180"/>
      <c r="O120" s="180"/>
      <c r="P120" s="180"/>
    </row>
    <row r="121" spans="1:16" s="211" customFormat="1" ht="15">
      <c r="A121" s="191"/>
      <c r="B121" s="191"/>
      <c r="C121" s="192" t="s">
        <v>10</v>
      </c>
      <c r="D121" s="193"/>
      <c r="E121" s="193"/>
      <c r="F121" s="193"/>
      <c r="G121" s="193"/>
      <c r="H121" s="194"/>
      <c r="I121" s="364"/>
      <c r="J121" s="402"/>
      <c r="K121" s="180"/>
      <c r="L121" s="180"/>
      <c r="M121" s="180"/>
      <c r="N121" s="180"/>
      <c r="O121" s="180"/>
      <c r="P121" s="180"/>
    </row>
    <row r="122" spans="1:16" s="1" customFormat="1" ht="15" customHeight="1">
      <c r="A122" s="365"/>
      <c r="B122" s="365"/>
      <c r="C122" s="201" t="s">
        <v>11</v>
      </c>
      <c r="D122" s="312">
        <v>9822000</v>
      </c>
      <c r="E122" s="312">
        <v>10063069</v>
      </c>
      <c r="F122" s="312">
        <v>10324000</v>
      </c>
      <c r="G122" s="312" t="s">
        <v>193</v>
      </c>
      <c r="H122" s="194">
        <f>F122/E122</f>
        <v>1.0259295648275888</v>
      </c>
      <c r="I122" s="364"/>
      <c r="J122" s="402"/>
      <c r="K122" s="306"/>
      <c r="L122" s="306"/>
      <c r="M122" s="306"/>
      <c r="N122" s="306"/>
      <c r="O122" s="306"/>
      <c r="P122" s="306"/>
    </row>
    <row r="123" spans="1:16" s="1" customFormat="1" ht="8.25" customHeight="1">
      <c r="A123" s="365"/>
      <c r="B123" s="365"/>
      <c r="C123" s="201"/>
      <c r="D123" s="312"/>
      <c r="E123" s="312"/>
      <c r="F123" s="312"/>
      <c r="G123" s="312"/>
      <c r="H123" s="194"/>
      <c r="I123" s="364"/>
      <c r="J123" s="402"/>
      <c r="K123" s="306"/>
      <c r="L123" s="306"/>
      <c r="M123" s="306"/>
      <c r="N123" s="306"/>
      <c r="O123" s="306"/>
      <c r="P123" s="306"/>
    </row>
    <row r="124" spans="1:16" s="1" customFormat="1" ht="14.25" customHeight="1">
      <c r="A124" s="366"/>
      <c r="B124" s="365"/>
      <c r="C124" s="192" t="s">
        <v>9</v>
      </c>
      <c r="D124" s="193">
        <v>965000</v>
      </c>
      <c r="E124" s="193">
        <v>400000</v>
      </c>
      <c r="F124" s="193">
        <v>500000</v>
      </c>
      <c r="G124" s="193"/>
      <c r="H124" s="194">
        <f>F124/E124</f>
        <v>1.25</v>
      </c>
      <c r="I124" s="364" t="s">
        <v>202</v>
      </c>
      <c r="J124" s="402" t="s">
        <v>254</v>
      </c>
      <c r="K124" s="509">
        <f>F124</f>
        <v>500000</v>
      </c>
      <c r="L124" s="306"/>
      <c r="M124" s="306"/>
      <c r="N124" s="306"/>
      <c r="O124" s="306"/>
      <c r="P124" s="306"/>
    </row>
    <row r="125" spans="1:16" s="37" customFormat="1" ht="21" customHeight="1">
      <c r="A125" s="213"/>
      <c r="B125" s="233">
        <v>80104</v>
      </c>
      <c r="C125" s="234" t="s">
        <v>203</v>
      </c>
      <c r="D125" s="235">
        <f>D126+D129</f>
        <v>6087000</v>
      </c>
      <c r="E125" s="235">
        <f>E126+E129</f>
        <v>6417888</v>
      </c>
      <c r="F125" s="235">
        <f>F126+F129</f>
        <v>6024000</v>
      </c>
      <c r="G125" s="235"/>
      <c r="H125" s="236">
        <f>F125/E125</f>
        <v>0.938626538823987</v>
      </c>
      <c r="I125" s="364" t="s">
        <v>204</v>
      </c>
      <c r="J125" s="506"/>
      <c r="K125" s="190"/>
      <c r="L125" s="190"/>
      <c r="M125" s="190"/>
      <c r="N125" s="190"/>
      <c r="O125" s="190"/>
      <c r="P125" s="190"/>
    </row>
    <row r="126" spans="1:16" s="211" customFormat="1" ht="16.5" customHeight="1">
      <c r="A126" s="222"/>
      <c r="B126" s="191"/>
      <c r="C126" s="192" t="s">
        <v>6</v>
      </c>
      <c r="D126" s="193">
        <v>5937000</v>
      </c>
      <c r="E126" s="193">
        <v>6154888</v>
      </c>
      <c r="F126" s="193">
        <v>6024000</v>
      </c>
      <c r="G126" s="193"/>
      <c r="H126" s="194">
        <f>F126/E126</f>
        <v>0.978734300282962</v>
      </c>
      <c r="I126" s="364" t="s">
        <v>205</v>
      </c>
      <c r="J126" s="402" t="s">
        <v>259</v>
      </c>
      <c r="K126" s="180"/>
      <c r="L126" s="180"/>
      <c r="M126" s="180"/>
      <c r="N126" s="180"/>
      <c r="O126" s="180"/>
      <c r="P126" s="180"/>
    </row>
    <row r="127" spans="1:16" s="211" customFormat="1" ht="15.75" customHeight="1">
      <c r="A127" s="222"/>
      <c r="B127" s="191"/>
      <c r="C127" s="192" t="s">
        <v>10</v>
      </c>
      <c r="D127" s="193"/>
      <c r="E127" s="193"/>
      <c r="F127" s="193"/>
      <c r="G127" s="193"/>
      <c r="H127" s="194"/>
      <c r="I127" s="364" t="s">
        <v>206</v>
      </c>
      <c r="J127" s="402"/>
      <c r="K127" s="180"/>
      <c r="L127" s="180"/>
      <c r="M127" s="180"/>
      <c r="N127" s="180"/>
      <c r="O127" s="180"/>
      <c r="P127" s="180"/>
    </row>
    <row r="128" spans="1:16" s="1" customFormat="1" ht="22.5" customHeight="1">
      <c r="A128" s="366"/>
      <c r="B128" s="365"/>
      <c r="C128" s="367" t="s">
        <v>11</v>
      </c>
      <c r="D128" s="312">
        <v>4376000</v>
      </c>
      <c r="E128" s="312">
        <v>4482309</v>
      </c>
      <c r="F128" s="312">
        <v>4289259</v>
      </c>
      <c r="G128" s="312"/>
      <c r="H128" s="194">
        <f>F128/E128</f>
        <v>0.9569306801472187</v>
      </c>
      <c r="I128" s="364" t="s">
        <v>207</v>
      </c>
      <c r="J128" s="402"/>
      <c r="K128" s="306"/>
      <c r="L128" s="306"/>
      <c r="M128" s="306"/>
      <c r="N128" s="306"/>
      <c r="O128" s="306"/>
      <c r="P128" s="306"/>
    </row>
    <row r="129" spans="1:16" s="1" customFormat="1" ht="17.25" customHeight="1">
      <c r="A129" s="366"/>
      <c r="B129" s="365"/>
      <c r="C129" s="201" t="s">
        <v>9</v>
      </c>
      <c r="D129" s="312">
        <v>150000</v>
      </c>
      <c r="E129" s="312">
        <v>263000</v>
      </c>
      <c r="F129" s="312">
        <v>0</v>
      </c>
      <c r="G129" s="312"/>
      <c r="H129" s="194">
        <f>F129/E129</f>
        <v>0</v>
      </c>
      <c r="I129" s="364"/>
      <c r="J129" s="402"/>
      <c r="K129" s="509">
        <f>F129</f>
        <v>0</v>
      </c>
      <c r="L129" s="306"/>
      <c r="M129" s="306"/>
      <c r="N129" s="306"/>
      <c r="O129" s="306"/>
      <c r="P129" s="306"/>
    </row>
    <row r="130" spans="1:16" s="1" customFormat="1" ht="17.25" customHeight="1">
      <c r="A130" s="366"/>
      <c r="B130" s="365"/>
      <c r="C130" s="201" t="s">
        <v>13</v>
      </c>
      <c r="D130" s="312"/>
      <c r="E130" s="312"/>
      <c r="F130" s="312">
        <v>217600</v>
      </c>
      <c r="G130" s="312"/>
      <c r="H130" s="194"/>
      <c r="I130" s="364"/>
      <c r="J130" s="402"/>
      <c r="K130" s="509"/>
      <c r="L130" s="306"/>
      <c r="M130" s="306"/>
      <c r="N130" s="306"/>
      <c r="O130" s="306"/>
      <c r="P130" s="306"/>
    </row>
    <row r="131" spans="1:16" s="1" customFormat="1" ht="19.5" customHeight="1">
      <c r="A131" s="213"/>
      <c r="B131" s="233">
        <v>80110</v>
      </c>
      <c r="C131" s="234" t="s">
        <v>18</v>
      </c>
      <c r="D131" s="235">
        <f>D132</f>
        <v>7272000</v>
      </c>
      <c r="E131" s="235">
        <f>E132</f>
        <v>7537281</v>
      </c>
      <c r="F131" s="235">
        <f>F132</f>
        <v>7556000</v>
      </c>
      <c r="G131" s="235"/>
      <c r="H131" s="236">
        <f>F131/E131</f>
        <v>1.0024835215776087</v>
      </c>
      <c r="I131" s="364" t="s">
        <v>208</v>
      </c>
      <c r="J131" s="402"/>
      <c r="K131" s="306"/>
      <c r="L131" s="306"/>
      <c r="M131" s="306"/>
      <c r="N131" s="306"/>
      <c r="O131" s="306"/>
      <c r="P131" s="306"/>
    </row>
    <row r="132" spans="1:16" s="1" customFormat="1" ht="24" customHeight="1">
      <c r="A132" s="222"/>
      <c r="B132" s="191"/>
      <c r="C132" s="192" t="s">
        <v>6</v>
      </c>
      <c r="D132" s="193">
        <v>7272000</v>
      </c>
      <c r="E132" s="193">
        <v>7537281</v>
      </c>
      <c r="F132" s="193">
        <v>7556000</v>
      </c>
      <c r="G132" s="193"/>
      <c r="H132" s="194">
        <f>F132/E132</f>
        <v>1.0024835215776087</v>
      </c>
      <c r="I132" s="364" t="s">
        <v>209</v>
      </c>
      <c r="J132" s="402"/>
      <c r="K132" s="306"/>
      <c r="L132" s="306"/>
      <c r="M132" s="306"/>
      <c r="N132" s="306"/>
      <c r="O132" s="306"/>
      <c r="P132" s="306"/>
    </row>
    <row r="133" spans="1:16" s="1" customFormat="1" ht="14.25" customHeight="1">
      <c r="A133" s="222"/>
      <c r="B133" s="191"/>
      <c r="C133" s="192" t="s">
        <v>10</v>
      </c>
      <c r="D133" s="193"/>
      <c r="E133" s="193"/>
      <c r="F133" s="193"/>
      <c r="G133" s="193"/>
      <c r="H133" s="194"/>
      <c r="I133" s="364"/>
      <c r="J133" s="402"/>
      <c r="K133" s="306"/>
      <c r="L133" s="306"/>
      <c r="M133" s="306"/>
      <c r="N133" s="306"/>
      <c r="O133" s="306"/>
      <c r="P133" s="306"/>
    </row>
    <row r="134" spans="1:16" s="1" customFormat="1" ht="33.75" customHeight="1">
      <c r="A134" s="366"/>
      <c r="B134" s="365"/>
      <c r="C134" s="192" t="s">
        <v>11</v>
      </c>
      <c r="D134" s="193">
        <v>6026000</v>
      </c>
      <c r="E134" s="193">
        <v>6104559</v>
      </c>
      <c r="F134" s="193">
        <v>6183300</v>
      </c>
      <c r="G134" s="194" t="s">
        <v>189</v>
      </c>
      <c r="H134" s="194">
        <f>F134/E134</f>
        <v>1.012898720448111</v>
      </c>
      <c r="I134" s="364" t="s">
        <v>210</v>
      </c>
      <c r="J134" s="402"/>
      <c r="K134" s="306"/>
      <c r="L134" s="306"/>
      <c r="M134" s="306"/>
      <c r="N134" s="306"/>
      <c r="O134" s="306"/>
      <c r="P134" s="306"/>
    </row>
    <row r="135" spans="1:16" s="1" customFormat="1" ht="18.75" customHeight="1">
      <c r="A135" s="369"/>
      <c r="B135" s="370">
        <v>80113</v>
      </c>
      <c r="C135" s="371" t="s">
        <v>19</v>
      </c>
      <c r="D135" s="329">
        <f>D136</f>
        <v>170000</v>
      </c>
      <c r="E135" s="329">
        <f>E136</f>
        <v>192432</v>
      </c>
      <c r="F135" s="329">
        <f>F136</f>
        <v>217000</v>
      </c>
      <c r="G135" s="329"/>
      <c r="H135" s="372">
        <f>F135/E135</f>
        <v>1.1276710734181425</v>
      </c>
      <c r="I135" s="305"/>
      <c r="J135" s="402"/>
      <c r="K135" s="306"/>
      <c r="L135" s="306"/>
      <c r="M135" s="306"/>
      <c r="N135" s="306"/>
      <c r="O135" s="306"/>
      <c r="P135" s="306"/>
    </row>
    <row r="136" spans="1:16" s="1" customFormat="1" ht="16.5" customHeight="1">
      <c r="A136" s="373"/>
      <c r="B136" s="374"/>
      <c r="C136" s="375" t="s">
        <v>6</v>
      </c>
      <c r="D136" s="193">
        <v>170000</v>
      </c>
      <c r="E136" s="193">
        <v>192432</v>
      </c>
      <c r="F136" s="193">
        <v>217000</v>
      </c>
      <c r="G136" s="193" t="s">
        <v>189</v>
      </c>
      <c r="H136" s="194">
        <f>F136/E136</f>
        <v>1.1276710734181425</v>
      </c>
      <c r="I136" s="305"/>
      <c r="J136" s="402"/>
      <c r="K136" s="306"/>
      <c r="L136" s="306"/>
      <c r="M136" s="306"/>
      <c r="N136" s="306"/>
      <c r="O136" s="306"/>
      <c r="P136" s="306"/>
    </row>
    <row r="137" spans="1:16" s="1" customFormat="1" ht="15">
      <c r="A137" s="365"/>
      <c r="B137" s="191"/>
      <c r="C137" s="192" t="s">
        <v>10</v>
      </c>
      <c r="D137" s="193"/>
      <c r="E137" s="193"/>
      <c r="F137" s="193"/>
      <c r="G137" s="193"/>
      <c r="H137" s="194"/>
      <c r="I137" s="305"/>
      <c r="J137" s="402"/>
      <c r="K137" s="306"/>
      <c r="L137" s="306"/>
      <c r="M137" s="306"/>
      <c r="N137" s="306"/>
      <c r="O137" s="306"/>
      <c r="P137" s="306"/>
    </row>
    <row r="138" spans="1:16" s="1" customFormat="1" ht="16.5" customHeight="1">
      <c r="A138" s="365"/>
      <c r="B138" s="365"/>
      <c r="C138" s="201" t="s">
        <v>11</v>
      </c>
      <c r="D138" s="312">
        <v>8000</v>
      </c>
      <c r="E138" s="312">
        <v>8000</v>
      </c>
      <c r="F138" s="312">
        <v>25500</v>
      </c>
      <c r="G138" s="312"/>
      <c r="H138" s="194">
        <f>F138/E138</f>
        <v>3.1875</v>
      </c>
      <c r="I138" s="305"/>
      <c r="J138" s="402"/>
      <c r="K138" s="306"/>
      <c r="L138" s="306"/>
      <c r="M138" s="306"/>
      <c r="N138" s="306"/>
      <c r="O138" s="306"/>
      <c r="P138" s="306"/>
    </row>
    <row r="139" spans="1:16" s="1" customFormat="1" ht="33.75" customHeight="1">
      <c r="A139" s="365"/>
      <c r="B139" s="233">
        <v>80114</v>
      </c>
      <c r="C139" s="234" t="s">
        <v>160</v>
      </c>
      <c r="D139" s="235">
        <f>D140+D143</f>
        <v>896000</v>
      </c>
      <c r="E139" s="235">
        <f>E140+E143</f>
        <v>972387</v>
      </c>
      <c r="F139" s="235">
        <f>F140+F143</f>
        <v>943000</v>
      </c>
      <c r="G139" s="235"/>
      <c r="H139" s="236">
        <f>F139/E139</f>
        <v>0.9697784935421803</v>
      </c>
      <c r="I139" s="305"/>
      <c r="J139" s="402"/>
      <c r="K139" s="306"/>
      <c r="L139" s="306"/>
      <c r="M139" s="306"/>
      <c r="N139" s="306"/>
      <c r="O139" s="306"/>
      <c r="P139" s="306"/>
    </row>
    <row r="140" spans="1:16" s="1" customFormat="1" ht="16.5" customHeight="1">
      <c r="A140" s="365"/>
      <c r="B140" s="191"/>
      <c r="C140" s="192" t="s">
        <v>6</v>
      </c>
      <c r="D140" s="193">
        <v>866000</v>
      </c>
      <c r="E140" s="193">
        <v>942387</v>
      </c>
      <c r="F140" s="193">
        <v>943000</v>
      </c>
      <c r="G140" s="193"/>
      <c r="H140" s="194">
        <f>F140/E140</f>
        <v>1.000650475866072</v>
      </c>
      <c r="I140" s="305"/>
      <c r="J140" s="402"/>
      <c r="K140" s="306"/>
      <c r="L140" s="306"/>
      <c r="M140" s="306"/>
      <c r="N140" s="306"/>
      <c r="O140" s="306"/>
      <c r="P140" s="306"/>
    </row>
    <row r="141" spans="1:16" s="1" customFormat="1" ht="19.5" customHeight="1">
      <c r="A141" s="365"/>
      <c r="B141" s="191"/>
      <c r="C141" s="192" t="s">
        <v>10</v>
      </c>
      <c r="D141" s="193"/>
      <c r="E141" s="193" t="s">
        <v>193</v>
      </c>
      <c r="F141" s="193"/>
      <c r="G141" s="193"/>
      <c r="H141" s="194"/>
      <c r="I141" s="305"/>
      <c r="J141" s="402"/>
      <c r="K141" s="306"/>
      <c r="L141" s="306"/>
      <c r="M141" s="306"/>
      <c r="N141" s="306"/>
      <c r="O141" s="306"/>
      <c r="P141" s="306"/>
    </row>
    <row r="142" spans="1:16" s="1" customFormat="1" ht="16.5" customHeight="1">
      <c r="A142" s="365"/>
      <c r="B142" s="365"/>
      <c r="C142" s="201" t="s">
        <v>11</v>
      </c>
      <c r="D142" s="312">
        <v>742100</v>
      </c>
      <c r="E142" s="312">
        <v>777410</v>
      </c>
      <c r="F142" s="312">
        <v>778000</v>
      </c>
      <c r="G142" s="312" t="s">
        <v>189</v>
      </c>
      <c r="H142" s="194">
        <f>F142/E142</f>
        <v>1.000758930294182</v>
      </c>
      <c r="I142" s="305"/>
      <c r="J142" s="402"/>
      <c r="K142" s="306"/>
      <c r="L142" s="306"/>
      <c r="M142" s="306"/>
      <c r="N142" s="306"/>
      <c r="O142" s="306"/>
      <c r="P142" s="306"/>
    </row>
    <row r="143" spans="1:16" s="1" customFormat="1" ht="16.5" customHeight="1">
      <c r="A143" s="365"/>
      <c r="B143" s="376"/>
      <c r="C143" s="224" t="s">
        <v>9</v>
      </c>
      <c r="D143" s="377">
        <v>30000</v>
      </c>
      <c r="E143" s="378">
        <v>30000</v>
      </c>
      <c r="F143" s="378">
        <v>0</v>
      </c>
      <c r="G143" s="378"/>
      <c r="H143" s="225">
        <f>F143/E143</f>
        <v>0</v>
      </c>
      <c r="I143" s="305"/>
      <c r="J143" s="402"/>
      <c r="K143" s="509">
        <f>F143</f>
        <v>0</v>
      </c>
      <c r="L143" s="306"/>
      <c r="M143" s="306"/>
      <c r="N143" s="306"/>
      <c r="O143" s="306"/>
      <c r="P143" s="306"/>
    </row>
    <row r="144" spans="1:16" s="1" customFormat="1" ht="18" customHeight="1">
      <c r="A144" s="365"/>
      <c r="B144" s="182">
        <v>80145</v>
      </c>
      <c r="C144" s="379" t="s">
        <v>141</v>
      </c>
      <c r="D144" s="380">
        <f>SUM(D145)</f>
        <v>7200</v>
      </c>
      <c r="E144" s="185">
        <f>SUM(E145)</f>
        <v>3500</v>
      </c>
      <c r="F144" s="185">
        <f>SUM(F145)</f>
        <v>4000</v>
      </c>
      <c r="G144" s="381" t="s">
        <v>189</v>
      </c>
      <c r="H144" s="194"/>
      <c r="I144" s="305"/>
      <c r="J144" s="402"/>
      <c r="K144" s="306"/>
      <c r="L144" s="306"/>
      <c r="M144" s="306"/>
      <c r="N144" s="306"/>
      <c r="O144" s="306"/>
      <c r="P144" s="306"/>
    </row>
    <row r="145" spans="1:16" s="1" customFormat="1" ht="19.5" customHeight="1">
      <c r="A145" s="365"/>
      <c r="B145" s="376"/>
      <c r="C145" s="382" t="s">
        <v>6</v>
      </c>
      <c r="D145" s="265">
        <v>7200</v>
      </c>
      <c r="E145" s="378">
        <v>3500</v>
      </c>
      <c r="F145" s="378">
        <v>4000</v>
      </c>
      <c r="G145" s="378"/>
      <c r="H145" s="225"/>
      <c r="I145" s="305"/>
      <c r="J145" s="402"/>
      <c r="K145" s="306"/>
      <c r="L145" s="306"/>
      <c r="M145" s="306"/>
      <c r="N145" s="306"/>
      <c r="O145" s="306"/>
      <c r="P145" s="306"/>
    </row>
    <row r="146" spans="1:16" s="1" customFormat="1" ht="19.5" customHeight="1">
      <c r="A146" s="365"/>
      <c r="B146" s="365"/>
      <c r="C146" s="201" t="s">
        <v>11</v>
      </c>
      <c r="D146" s="192"/>
      <c r="E146" s="312"/>
      <c r="F146" s="312">
        <v>4000</v>
      </c>
      <c r="G146" s="312"/>
      <c r="H146" s="194"/>
      <c r="I146" s="305"/>
      <c r="J146" s="402"/>
      <c r="K146" s="306"/>
      <c r="L146" s="306"/>
      <c r="M146" s="306"/>
      <c r="N146" s="306"/>
      <c r="O146" s="306"/>
      <c r="P146" s="306"/>
    </row>
    <row r="147" spans="1:16" s="1" customFormat="1" ht="36" customHeight="1">
      <c r="A147" s="366"/>
      <c r="B147" s="182">
        <v>80146</v>
      </c>
      <c r="C147" s="184" t="s">
        <v>143</v>
      </c>
      <c r="D147" s="185">
        <f>SUM(D148)</f>
        <v>149000</v>
      </c>
      <c r="E147" s="185">
        <f>E148</f>
        <v>206219</v>
      </c>
      <c r="F147" s="185">
        <f>F148</f>
        <v>134800</v>
      </c>
      <c r="G147" s="185"/>
      <c r="H147" s="208">
        <f aca="true" t="shared" si="11" ref="H147:H164">F147/E147</f>
        <v>0.6536740067598039</v>
      </c>
      <c r="I147" s="305"/>
      <c r="J147" s="402"/>
      <c r="K147" s="306"/>
      <c r="L147" s="306"/>
      <c r="M147" s="306"/>
      <c r="N147" s="306"/>
      <c r="O147" s="306"/>
      <c r="P147" s="306"/>
    </row>
    <row r="148" spans="1:16" s="1" customFormat="1" ht="21" customHeight="1">
      <c r="A148" s="366"/>
      <c r="B148" s="365"/>
      <c r="C148" s="192" t="s">
        <v>6</v>
      </c>
      <c r="D148" s="193">
        <v>149000</v>
      </c>
      <c r="E148" s="193">
        <v>206219</v>
      </c>
      <c r="F148" s="193">
        <v>134800</v>
      </c>
      <c r="G148" s="193" t="s">
        <v>189</v>
      </c>
      <c r="H148" s="194">
        <f t="shared" si="11"/>
        <v>0.6536740067598039</v>
      </c>
      <c r="I148" s="305"/>
      <c r="J148" s="402"/>
      <c r="K148" s="306"/>
      <c r="L148" s="306"/>
      <c r="M148" s="306"/>
      <c r="N148" s="306"/>
      <c r="O148" s="306"/>
      <c r="P148" s="306"/>
    </row>
    <row r="149" spans="1:16" s="1" customFormat="1" ht="21" customHeight="1">
      <c r="A149" s="365"/>
      <c r="B149" s="365"/>
      <c r="C149" s="192" t="s">
        <v>10</v>
      </c>
      <c r="D149" s="193"/>
      <c r="E149" s="193"/>
      <c r="F149" s="193"/>
      <c r="G149" s="193"/>
      <c r="H149" s="194"/>
      <c r="I149" s="305"/>
      <c r="J149" s="402"/>
      <c r="K149" s="306"/>
      <c r="L149" s="306"/>
      <c r="M149" s="306"/>
      <c r="N149" s="306"/>
      <c r="O149" s="306"/>
      <c r="P149" s="306"/>
    </row>
    <row r="150" spans="1:16" s="1" customFormat="1" ht="16.5" customHeight="1">
      <c r="A150" s="365"/>
      <c r="B150" s="365"/>
      <c r="C150" s="201" t="s">
        <v>11</v>
      </c>
      <c r="D150" s="193">
        <v>40000</v>
      </c>
      <c r="E150" s="193">
        <v>24260</v>
      </c>
      <c r="F150" s="193">
        <v>30000</v>
      </c>
      <c r="G150" s="193"/>
      <c r="H150" s="194">
        <f t="shared" si="11"/>
        <v>1.2366034624896949</v>
      </c>
      <c r="I150" s="305"/>
      <c r="J150" s="402"/>
      <c r="K150" s="306"/>
      <c r="L150" s="306"/>
      <c r="M150" s="306"/>
      <c r="N150" s="306"/>
      <c r="O150" s="306"/>
      <c r="P150" s="306"/>
    </row>
    <row r="151" spans="1:16" s="1" customFormat="1" ht="19.5" customHeight="1">
      <c r="A151" s="365"/>
      <c r="B151" s="233">
        <v>80195</v>
      </c>
      <c r="C151" s="234" t="s">
        <v>5</v>
      </c>
      <c r="D151" s="235">
        <f>D152</f>
        <v>230000</v>
      </c>
      <c r="E151" s="235">
        <f>E152</f>
        <v>223300</v>
      </c>
      <c r="F151" s="235">
        <f>F152</f>
        <v>224000</v>
      </c>
      <c r="G151" s="235"/>
      <c r="H151" s="236">
        <f t="shared" si="11"/>
        <v>1.0031347962382444</v>
      </c>
      <c r="I151" s="305"/>
      <c r="J151" s="402"/>
      <c r="K151" s="306"/>
      <c r="L151" s="306"/>
      <c r="M151" s="306"/>
      <c r="N151" s="306"/>
      <c r="O151" s="306"/>
      <c r="P151" s="306"/>
    </row>
    <row r="152" spans="1:16" s="1" customFormat="1" ht="20.25" customHeight="1" thickBot="1">
      <c r="A152" s="365"/>
      <c r="B152" s="191"/>
      <c r="C152" s="192" t="s">
        <v>6</v>
      </c>
      <c r="D152" s="193">
        <v>230000</v>
      </c>
      <c r="E152" s="193">
        <v>223300</v>
      </c>
      <c r="F152" s="193">
        <v>224000</v>
      </c>
      <c r="G152" s="193" t="s">
        <v>189</v>
      </c>
      <c r="H152" s="194">
        <f t="shared" si="11"/>
        <v>1.0031347962382444</v>
      </c>
      <c r="I152" s="305"/>
      <c r="J152" s="402"/>
      <c r="K152" s="306"/>
      <c r="L152" s="306"/>
      <c r="M152" s="306"/>
      <c r="N152" s="306"/>
      <c r="O152" s="306"/>
      <c r="P152" s="306"/>
    </row>
    <row r="153" spans="1:16" s="181" customFormat="1" ht="24" customHeight="1">
      <c r="A153" s="212">
        <v>851</v>
      </c>
      <c r="B153" s="254"/>
      <c r="C153" s="205" t="s">
        <v>22</v>
      </c>
      <c r="D153" s="206">
        <f>D163+D168+D154+D159</f>
        <v>1030400</v>
      </c>
      <c r="E153" s="206">
        <f>E163+E168+E154+E159</f>
        <v>1242800</v>
      </c>
      <c r="F153" s="206">
        <f>F163+F168+F154+F159</f>
        <v>770000</v>
      </c>
      <c r="G153" s="206"/>
      <c r="H153" s="383">
        <f t="shared" si="11"/>
        <v>0.6195687158030254</v>
      </c>
      <c r="I153" s="220"/>
      <c r="J153" s="402"/>
      <c r="K153" s="180"/>
      <c r="L153" s="180"/>
      <c r="M153" s="180"/>
      <c r="N153" s="180"/>
      <c r="O153" s="180"/>
      <c r="P153" s="180"/>
    </row>
    <row r="154" spans="1:16" s="181" customFormat="1" ht="20.25" customHeight="1">
      <c r="A154" s="263"/>
      <c r="B154" s="384">
        <v>85121</v>
      </c>
      <c r="C154" s="385" t="s">
        <v>172</v>
      </c>
      <c r="D154" s="185">
        <f>D155+D158</f>
        <v>290000</v>
      </c>
      <c r="E154" s="185">
        <f>E155+E158</f>
        <v>400000</v>
      </c>
      <c r="F154" s="185">
        <f>F155+F158</f>
        <v>0</v>
      </c>
      <c r="G154" s="386"/>
      <c r="H154" s="387">
        <f t="shared" si="11"/>
        <v>0</v>
      </c>
      <c r="I154" s="220"/>
      <c r="J154" s="402"/>
      <c r="K154" s="180"/>
      <c r="L154" s="180"/>
      <c r="M154" s="180"/>
      <c r="N154" s="180"/>
      <c r="O154" s="180"/>
      <c r="P154" s="180"/>
    </row>
    <row r="155" spans="1:16" s="181" customFormat="1" ht="15.75" customHeight="1">
      <c r="A155" s="257"/>
      <c r="B155" s="263"/>
      <c r="C155" s="388" t="s">
        <v>6</v>
      </c>
      <c r="D155" s="389">
        <v>50000</v>
      </c>
      <c r="E155" s="246">
        <v>100000</v>
      </c>
      <c r="F155" s="246"/>
      <c r="G155" s="199"/>
      <c r="H155" s="194">
        <f t="shared" si="11"/>
        <v>0</v>
      </c>
      <c r="I155" s="220"/>
      <c r="J155" s="402"/>
      <c r="K155" s="180"/>
      <c r="L155" s="180"/>
      <c r="M155" s="180"/>
      <c r="N155" s="180"/>
      <c r="O155" s="180"/>
      <c r="P155" s="180"/>
    </row>
    <row r="156" spans="1:16" s="181" customFormat="1" ht="15" customHeight="1">
      <c r="A156" s="257"/>
      <c r="B156" s="263"/>
      <c r="C156" s="262" t="s">
        <v>10</v>
      </c>
      <c r="D156" s="389"/>
      <c r="E156" s="246"/>
      <c r="F156" s="246"/>
      <c r="G156" s="199"/>
      <c r="H156" s="248"/>
      <c r="I156" s="220"/>
      <c r="J156" s="402"/>
      <c r="K156" s="180"/>
      <c r="L156" s="180"/>
      <c r="M156" s="180"/>
      <c r="N156" s="180"/>
      <c r="O156" s="180"/>
      <c r="P156" s="180"/>
    </row>
    <row r="157" spans="1:16" s="181" customFormat="1" ht="21" customHeight="1">
      <c r="A157" s="263"/>
      <c r="B157" s="263"/>
      <c r="C157" s="388" t="s">
        <v>13</v>
      </c>
      <c r="D157" s="389">
        <v>50000</v>
      </c>
      <c r="E157" s="246">
        <v>100000</v>
      </c>
      <c r="F157" s="246"/>
      <c r="G157" s="199"/>
      <c r="H157" s="194">
        <f t="shared" si="11"/>
        <v>0</v>
      </c>
      <c r="I157" s="220"/>
      <c r="J157" s="515"/>
      <c r="K157" s="180"/>
      <c r="L157" s="180"/>
      <c r="M157" s="180"/>
      <c r="N157" s="180"/>
      <c r="O157" s="180"/>
      <c r="P157" s="180"/>
    </row>
    <row r="158" spans="1:16" s="181" customFormat="1" ht="16.5" customHeight="1">
      <c r="A158" s="263"/>
      <c r="B158" s="263"/>
      <c r="C158" s="388" t="s">
        <v>9</v>
      </c>
      <c r="D158" s="389">
        <v>240000</v>
      </c>
      <c r="E158" s="246">
        <v>300000</v>
      </c>
      <c r="F158" s="246"/>
      <c r="G158" s="199"/>
      <c r="H158" s="194">
        <f t="shared" si="11"/>
        <v>0</v>
      </c>
      <c r="I158" s="220"/>
      <c r="J158" s="402"/>
      <c r="K158" s="508">
        <f>F158</f>
        <v>0</v>
      </c>
      <c r="L158" s="180"/>
      <c r="M158" s="180"/>
      <c r="N158" s="180"/>
      <c r="O158" s="180"/>
      <c r="P158" s="180"/>
    </row>
    <row r="159" spans="1:16" s="181" customFormat="1" ht="17.25" customHeight="1">
      <c r="A159" s="263"/>
      <c r="B159" s="390">
        <v>85149</v>
      </c>
      <c r="C159" s="391" t="s">
        <v>212</v>
      </c>
      <c r="D159" s="392">
        <f>SUM(D160)</f>
        <v>0</v>
      </c>
      <c r="E159" s="329">
        <f>SUM(E160)</f>
        <v>1000</v>
      </c>
      <c r="F159" s="329">
        <f>SUM(F160)</f>
        <v>50000</v>
      </c>
      <c r="G159" s="393"/>
      <c r="H159" s="264">
        <f t="shared" si="11"/>
        <v>50</v>
      </c>
      <c r="I159" s="220"/>
      <c r="J159" s="402"/>
      <c r="K159" s="180"/>
      <c r="L159" s="180"/>
      <c r="M159" s="180"/>
      <c r="N159" s="180"/>
      <c r="O159" s="180"/>
      <c r="P159" s="180"/>
    </row>
    <row r="160" spans="1:16" s="181" customFormat="1" ht="16.5" customHeight="1">
      <c r="A160" s="263"/>
      <c r="B160" s="263"/>
      <c r="C160" s="388" t="s">
        <v>213</v>
      </c>
      <c r="D160" s="389">
        <v>0</v>
      </c>
      <c r="E160" s="246">
        <v>1000</v>
      </c>
      <c r="F160" s="246">
        <v>50000</v>
      </c>
      <c r="G160" s="199"/>
      <c r="H160" s="194">
        <f t="shared" si="11"/>
        <v>50</v>
      </c>
      <c r="I160" s="220"/>
      <c r="J160" s="402"/>
      <c r="K160" s="180"/>
      <c r="L160" s="180"/>
      <c r="M160" s="180"/>
      <c r="N160" s="180"/>
      <c r="O160" s="180"/>
      <c r="P160" s="180"/>
    </row>
    <row r="161" spans="1:16" s="181" customFormat="1" ht="15.75" customHeight="1">
      <c r="A161" s="263"/>
      <c r="B161" s="263"/>
      <c r="C161" s="388" t="s">
        <v>10</v>
      </c>
      <c r="D161" s="389"/>
      <c r="E161" s="246"/>
      <c r="F161" s="246"/>
      <c r="G161" s="199"/>
      <c r="H161" s="194"/>
      <c r="I161" s="220"/>
      <c r="J161" s="402"/>
      <c r="K161" s="180"/>
      <c r="L161" s="180"/>
      <c r="M161" s="180"/>
      <c r="N161" s="180"/>
      <c r="O161" s="180"/>
      <c r="P161" s="180"/>
    </row>
    <row r="162" spans="1:16" s="181" customFormat="1" ht="15" customHeight="1">
      <c r="A162" s="263"/>
      <c r="B162" s="263"/>
      <c r="C162" s="388" t="s">
        <v>13</v>
      </c>
      <c r="D162" s="389">
        <v>0</v>
      </c>
      <c r="E162" s="246">
        <v>1000</v>
      </c>
      <c r="F162" s="246">
        <v>50000</v>
      </c>
      <c r="G162" s="199"/>
      <c r="H162" s="194">
        <f t="shared" si="11"/>
        <v>50</v>
      </c>
      <c r="I162" s="220"/>
      <c r="J162" s="515" t="s">
        <v>211</v>
      </c>
      <c r="K162" s="180"/>
      <c r="L162" s="180"/>
      <c r="M162" s="180"/>
      <c r="N162" s="180"/>
      <c r="O162" s="180"/>
      <c r="P162" s="180"/>
    </row>
    <row r="163" spans="1:16" s="37" customFormat="1" ht="15.75">
      <c r="A163" s="213"/>
      <c r="B163" s="233">
        <v>85154</v>
      </c>
      <c r="C163" s="234" t="s">
        <v>24</v>
      </c>
      <c r="D163" s="235">
        <f>D164</f>
        <v>650000</v>
      </c>
      <c r="E163" s="235">
        <f>E164</f>
        <v>700000</v>
      </c>
      <c r="F163" s="235">
        <f>F164</f>
        <v>650000</v>
      </c>
      <c r="G163" s="235"/>
      <c r="H163" s="236">
        <f t="shared" si="11"/>
        <v>0.9285714285714286</v>
      </c>
      <c r="I163" s="221"/>
      <c r="J163" s="506"/>
      <c r="K163" s="190"/>
      <c r="L163" s="190"/>
      <c r="M163" s="190"/>
      <c r="N163" s="190"/>
      <c r="O163" s="190"/>
      <c r="P163" s="190"/>
    </row>
    <row r="164" spans="1:16" s="211" customFormat="1" ht="25.5" customHeight="1">
      <c r="A164" s="222"/>
      <c r="B164" s="191"/>
      <c r="C164" s="192" t="s">
        <v>6</v>
      </c>
      <c r="D164" s="193">
        <v>650000</v>
      </c>
      <c r="E164" s="193">
        <v>700000</v>
      </c>
      <c r="F164" s="193">
        <v>650000</v>
      </c>
      <c r="G164" s="193"/>
      <c r="H164" s="194">
        <f t="shared" si="11"/>
        <v>0.9285714285714286</v>
      </c>
      <c r="I164" s="237"/>
      <c r="J164" s="515" t="s">
        <v>214</v>
      </c>
      <c r="K164" s="180"/>
      <c r="L164" s="180"/>
      <c r="M164" s="180"/>
      <c r="N164" s="180"/>
      <c r="O164" s="180"/>
      <c r="P164" s="180"/>
    </row>
    <row r="165" spans="1:16" s="211" customFormat="1" ht="16.5" customHeight="1">
      <c r="A165" s="222"/>
      <c r="B165" s="191"/>
      <c r="C165" s="192" t="s">
        <v>10</v>
      </c>
      <c r="D165" s="193"/>
      <c r="E165" s="193"/>
      <c r="F165" s="193"/>
      <c r="G165" s="193"/>
      <c r="H165" s="194"/>
      <c r="I165" s="237"/>
      <c r="J165" s="402"/>
      <c r="K165" s="180"/>
      <c r="L165" s="180"/>
      <c r="M165" s="180"/>
      <c r="N165" s="180"/>
      <c r="O165" s="180"/>
      <c r="P165" s="180"/>
    </row>
    <row r="166" spans="1:16" s="211" customFormat="1" ht="18.75" customHeight="1">
      <c r="A166" s="222"/>
      <c r="B166" s="191"/>
      <c r="C166" s="201" t="s">
        <v>11</v>
      </c>
      <c r="D166" s="312">
        <v>136660</v>
      </c>
      <c r="E166" s="312">
        <v>136660</v>
      </c>
      <c r="F166" s="312">
        <v>139650</v>
      </c>
      <c r="G166" s="312"/>
      <c r="H166" s="194">
        <f aca="true" t="shared" si="12" ref="H166:H183">F166/E166</f>
        <v>1.0218791160544416</v>
      </c>
      <c r="I166" s="218"/>
      <c r="J166" s="512"/>
      <c r="K166" s="179"/>
      <c r="L166" s="180"/>
      <c r="M166" s="180"/>
      <c r="N166" s="180"/>
      <c r="O166" s="180"/>
      <c r="P166" s="180"/>
    </row>
    <row r="167" spans="1:16" s="211" customFormat="1" ht="20.25" customHeight="1">
      <c r="A167" s="222"/>
      <c r="B167" s="191"/>
      <c r="C167" s="201" t="s">
        <v>13</v>
      </c>
      <c r="D167" s="312">
        <v>104508</v>
      </c>
      <c r="E167" s="312">
        <v>143168</v>
      </c>
      <c r="F167" s="312">
        <v>120000</v>
      </c>
      <c r="G167" s="312" t="s">
        <v>189</v>
      </c>
      <c r="H167" s="194">
        <f t="shared" si="12"/>
        <v>0.8381761287438534</v>
      </c>
      <c r="I167" s="218"/>
      <c r="J167" s="512"/>
      <c r="K167" s="180"/>
      <c r="L167" s="180"/>
      <c r="M167" s="180"/>
      <c r="N167" s="180"/>
      <c r="O167" s="180"/>
      <c r="P167" s="180"/>
    </row>
    <row r="168" spans="1:16" s="37" customFormat="1" ht="19.5" customHeight="1">
      <c r="A168" s="213" t="s">
        <v>193</v>
      </c>
      <c r="B168" s="233">
        <v>85158</v>
      </c>
      <c r="C168" s="234" t="s">
        <v>27</v>
      </c>
      <c r="D168" s="235">
        <f>D169</f>
        <v>90400</v>
      </c>
      <c r="E168" s="235">
        <f>E169</f>
        <v>141800</v>
      </c>
      <c r="F168" s="235">
        <f>F169</f>
        <v>70000</v>
      </c>
      <c r="G168" s="235"/>
      <c r="H168" s="236">
        <f t="shared" si="12"/>
        <v>0.4936530324400564</v>
      </c>
      <c r="I168" s="221"/>
      <c r="J168" s="506"/>
      <c r="K168" s="190"/>
      <c r="L168" s="190"/>
      <c r="M168" s="190"/>
      <c r="N168" s="190"/>
      <c r="O168" s="190"/>
      <c r="P168" s="190"/>
    </row>
    <row r="169" spans="1:16" s="211" customFormat="1" ht="24.75" customHeight="1">
      <c r="A169" s="222"/>
      <c r="B169" s="191"/>
      <c r="C169" s="192" t="s">
        <v>215</v>
      </c>
      <c r="D169" s="193">
        <v>90400</v>
      </c>
      <c r="E169" s="193">
        <v>141800</v>
      </c>
      <c r="F169" s="193">
        <v>70000</v>
      </c>
      <c r="G169" s="193" t="s">
        <v>189</v>
      </c>
      <c r="H169" s="194">
        <f t="shared" si="12"/>
        <v>0.4936530324400564</v>
      </c>
      <c r="I169" s="237"/>
      <c r="J169" s="402"/>
      <c r="K169" s="180"/>
      <c r="L169" s="180"/>
      <c r="M169" s="180"/>
      <c r="N169" s="180"/>
      <c r="O169" s="180"/>
      <c r="P169" s="180"/>
    </row>
    <row r="170" spans="1:16" s="211" customFormat="1" ht="16.5" customHeight="1" thickBot="1">
      <c r="A170" s="191"/>
      <c r="B170" s="191"/>
      <c r="C170" s="201" t="s">
        <v>13</v>
      </c>
      <c r="D170" s="193">
        <v>90400</v>
      </c>
      <c r="E170" s="193">
        <v>141800</v>
      </c>
      <c r="F170" s="193">
        <v>70000</v>
      </c>
      <c r="G170" s="193"/>
      <c r="H170" s="194">
        <f t="shared" si="12"/>
        <v>0.4936530324400564</v>
      </c>
      <c r="I170" s="237"/>
      <c r="J170" s="402" t="s">
        <v>216</v>
      </c>
      <c r="K170" s="180"/>
      <c r="L170" s="180"/>
      <c r="M170" s="180"/>
      <c r="N170" s="180"/>
      <c r="O170" s="180"/>
      <c r="P170" s="180"/>
    </row>
    <row r="171" spans="1:16" s="211" customFormat="1" ht="24" customHeight="1">
      <c r="A171" s="212">
        <v>852</v>
      </c>
      <c r="B171" s="254"/>
      <c r="C171" s="205" t="s">
        <v>177</v>
      </c>
      <c r="D171" s="206">
        <f>D174+D176+D180+D182+D187+D191</f>
        <v>5829345</v>
      </c>
      <c r="E171" s="206">
        <f>E174+E176+E180+E182+E187+E191</f>
        <v>6364635</v>
      </c>
      <c r="F171" s="206">
        <f>F174+F176+F180+F182+F187+F191+F172</f>
        <v>6977655</v>
      </c>
      <c r="G171" s="206"/>
      <c r="H171" s="207">
        <f t="shared" si="12"/>
        <v>1.0963165994593562</v>
      </c>
      <c r="I171" s="237"/>
      <c r="J171" s="402"/>
      <c r="K171" s="180"/>
      <c r="L171" s="180"/>
      <c r="M171" s="180"/>
      <c r="N171" s="180"/>
      <c r="O171" s="180"/>
      <c r="P171" s="180"/>
    </row>
    <row r="172" spans="1:16" s="211" customFormat="1" ht="18" customHeight="1">
      <c r="A172" s="263"/>
      <c r="B172" s="233">
        <v>85202</v>
      </c>
      <c r="C172" s="394" t="s">
        <v>217</v>
      </c>
      <c r="D172" s="199"/>
      <c r="E172" s="199"/>
      <c r="F172" s="229">
        <f>F173</f>
        <v>40000</v>
      </c>
      <c r="G172" s="199"/>
      <c r="H172" s="395">
        <v>0</v>
      </c>
      <c r="I172" s="237"/>
      <c r="J172" s="402"/>
      <c r="K172" s="180"/>
      <c r="L172" s="180"/>
      <c r="M172" s="180"/>
      <c r="N172" s="180"/>
      <c r="O172" s="180"/>
      <c r="P172" s="180"/>
    </row>
    <row r="173" spans="1:16" s="211" customFormat="1" ht="14.25" customHeight="1">
      <c r="A173" s="263"/>
      <c r="B173" s="182"/>
      <c r="C173" s="396" t="s">
        <v>6</v>
      </c>
      <c r="D173" s="397"/>
      <c r="E173" s="397"/>
      <c r="F173" s="398">
        <v>40000</v>
      </c>
      <c r="G173" s="397"/>
      <c r="H173" s="399">
        <v>0</v>
      </c>
      <c r="I173" s="237"/>
      <c r="J173" s="402"/>
      <c r="K173" s="180"/>
      <c r="L173" s="180"/>
      <c r="M173" s="180"/>
      <c r="N173" s="180"/>
      <c r="O173" s="180"/>
      <c r="P173" s="180"/>
    </row>
    <row r="174" spans="1:16" s="37" customFormat="1" ht="36.75" customHeight="1">
      <c r="A174" s="213"/>
      <c r="B174" s="233">
        <v>85212</v>
      </c>
      <c r="C174" s="394" t="s">
        <v>218</v>
      </c>
      <c r="D174" s="235">
        <f>SUM(D175)</f>
        <v>0</v>
      </c>
      <c r="E174" s="235">
        <f>SUM(E175)</f>
        <v>41100</v>
      </c>
      <c r="F174" s="235">
        <f>SUM(F175)</f>
        <v>0</v>
      </c>
      <c r="G174" s="235"/>
      <c r="H174" s="395">
        <f t="shared" si="12"/>
        <v>0</v>
      </c>
      <c r="I174" s="221"/>
      <c r="J174" s="506"/>
      <c r="K174" s="190"/>
      <c r="L174" s="190"/>
      <c r="M174" s="190"/>
      <c r="N174" s="190"/>
      <c r="O174" s="190"/>
      <c r="P174" s="190"/>
    </row>
    <row r="175" spans="1:16" s="211" customFormat="1" ht="21" customHeight="1">
      <c r="A175" s="222"/>
      <c r="B175" s="191"/>
      <c r="C175" s="192" t="s">
        <v>6</v>
      </c>
      <c r="D175" s="193">
        <v>0</v>
      </c>
      <c r="E175" s="193">
        <v>41100</v>
      </c>
      <c r="F175" s="193"/>
      <c r="G175" s="193"/>
      <c r="H175" s="400">
        <f t="shared" si="12"/>
        <v>0</v>
      </c>
      <c r="I175" s="237"/>
      <c r="J175" s="402"/>
      <c r="K175" s="180"/>
      <c r="L175" s="180"/>
      <c r="M175" s="180"/>
      <c r="N175" s="180"/>
      <c r="O175" s="180"/>
      <c r="P175" s="180"/>
    </row>
    <row r="176" spans="1:16" s="1" customFormat="1" ht="33.75" customHeight="1">
      <c r="A176" s="213"/>
      <c r="B176" s="233">
        <v>85214</v>
      </c>
      <c r="C176" s="234" t="s">
        <v>138</v>
      </c>
      <c r="D176" s="235">
        <f>D177</f>
        <v>1275000</v>
      </c>
      <c r="E176" s="235">
        <f>E177</f>
        <v>1675990</v>
      </c>
      <c r="F176" s="235">
        <f>F177</f>
        <v>2082720</v>
      </c>
      <c r="G176" s="235"/>
      <c r="H176" s="236">
        <f t="shared" si="12"/>
        <v>1.242680445587384</v>
      </c>
      <c r="I176" s="305"/>
      <c r="J176" s="402"/>
      <c r="K176" s="306"/>
      <c r="L176" s="306"/>
      <c r="M176" s="306"/>
      <c r="N176" s="306"/>
      <c r="O176" s="306"/>
      <c r="P176" s="306"/>
    </row>
    <row r="177" spans="1:16" s="1" customFormat="1" ht="20.25" customHeight="1">
      <c r="A177" s="401"/>
      <c r="B177" s="191"/>
      <c r="C177" s="192" t="s">
        <v>6</v>
      </c>
      <c r="D177" s="193">
        <v>1275000</v>
      </c>
      <c r="E177" s="193">
        <v>1675990</v>
      </c>
      <c r="F177" s="193">
        <v>2082720</v>
      </c>
      <c r="G177" s="193" t="s">
        <v>189</v>
      </c>
      <c r="H177" s="194">
        <f t="shared" si="12"/>
        <v>1.242680445587384</v>
      </c>
      <c r="I177" s="305"/>
      <c r="J177" s="515" t="s">
        <v>219</v>
      </c>
      <c r="K177" s="306"/>
      <c r="L177" s="306"/>
      <c r="M177" s="306"/>
      <c r="N177" s="306"/>
      <c r="O177" s="306"/>
      <c r="P177" s="306"/>
    </row>
    <row r="178" spans="1:16" s="1" customFormat="1" ht="15" customHeight="1">
      <c r="A178" s="401"/>
      <c r="B178" s="191"/>
      <c r="C178" s="201" t="s">
        <v>10</v>
      </c>
      <c r="D178" s="193"/>
      <c r="E178" s="193"/>
      <c r="F178" s="193"/>
      <c r="G178" s="193"/>
      <c r="H178" s="194"/>
      <c r="I178" s="305"/>
      <c r="J178" s="402"/>
      <c r="K178" s="306"/>
      <c r="L178" s="306"/>
      <c r="M178" s="306"/>
      <c r="N178" s="306"/>
      <c r="O178" s="306"/>
      <c r="P178" s="306"/>
    </row>
    <row r="179" spans="1:16" s="1" customFormat="1" ht="18.75" customHeight="1">
      <c r="A179" s="401"/>
      <c r="B179" s="191"/>
      <c r="C179" s="201" t="s">
        <v>11</v>
      </c>
      <c r="D179" s="193">
        <v>0</v>
      </c>
      <c r="E179" s="193">
        <v>5000</v>
      </c>
      <c r="F179" s="193">
        <v>5000</v>
      </c>
      <c r="G179" s="193"/>
      <c r="H179" s="194">
        <f t="shared" si="12"/>
        <v>1</v>
      </c>
      <c r="I179" s="305"/>
      <c r="J179" s="402" t="s">
        <v>220</v>
      </c>
      <c r="K179" s="306"/>
      <c r="L179" s="306"/>
      <c r="M179" s="306"/>
      <c r="N179" s="306"/>
      <c r="O179" s="306"/>
      <c r="P179" s="306"/>
    </row>
    <row r="180" spans="1:16" s="37" customFormat="1" ht="20.25" customHeight="1">
      <c r="A180" s="213"/>
      <c r="B180" s="233">
        <v>85215</v>
      </c>
      <c r="C180" s="234" t="s">
        <v>26</v>
      </c>
      <c r="D180" s="235">
        <f>D181</f>
        <v>2780500</v>
      </c>
      <c r="E180" s="235">
        <f>E181</f>
        <v>2780500</v>
      </c>
      <c r="F180" s="235">
        <f>F181</f>
        <v>2400000</v>
      </c>
      <c r="G180" s="235" t="s">
        <v>189</v>
      </c>
      <c r="H180" s="236">
        <f t="shared" si="12"/>
        <v>0.8631541089732062</v>
      </c>
      <c r="I180" s="221"/>
      <c r="J180" s="506"/>
      <c r="K180" s="190"/>
      <c r="L180" s="190"/>
      <c r="M180" s="190"/>
      <c r="N180" s="190"/>
      <c r="O180" s="190"/>
      <c r="P180" s="190"/>
    </row>
    <row r="181" spans="1:16" s="211" customFormat="1" ht="15">
      <c r="A181" s="222"/>
      <c r="B181" s="191"/>
      <c r="C181" s="192" t="s">
        <v>6</v>
      </c>
      <c r="D181" s="193">
        <v>2780500</v>
      </c>
      <c r="E181" s="193">
        <v>2780500</v>
      </c>
      <c r="F181" s="193">
        <v>2400000</v>
      </c>
      <c r="G181" s="193"/>
      <c r="H181" s="194">
        <f t="shared" si="12"/>
        <v>0.8631541089732062</v>
      </c>
      <c r="I181" s="237"/>
      <c r="J181" s="402"/>
      <c r="K181" s="180"/>
      <c r="L181" s="180"/>
      <c r="M181" s="180"/>
      <c r="N181" s="180"/>
      <c r="O181" s="180"/>
      <c r="P181" s="180"/>
    </row>
    <row r="182" spans="1:16" s="37" customFormat="1" ht="18.75" customHeight="1">
      <c r="A182" s="213"/>
      <c r="B182" s="233">
        <v>85219</v>
      </c>
      <c r="C182" s="234" t="s">
        <v>73</v>
      </c>
      <c r="D182" s="235">
        <f>SUM(D183+D186)</f>
        <v>1622695</v>
      </c>
      <c r="E182" s="235">
        <f>SUM(E183+E186)</f>
        <v>1638645</v>
      </c>
      <c r="F182" s="235">
        <f>SUM(F183+F186)</f>
        <v>2316765</v>
      </c>
      <c r="G182" s="235"/>
      <c r="H182" s="236">
        <f t="shared" si="12"/>
        <v>1.413829719066668</v>
      </c>
      <c r="I182" s="221"/>
      <c r="J182" s="506"/>
      <c r="K182" s="190"/>
      <c r="L182" s="190"/>
      <c r="M182" s="190"/>
      <c r="N182" s="190"/>
      <c r="O182" s="190"/>
      <c r="P182" s="190"/>
    </row>
    <row r="183" spans="1:16" s="211" customFormat="1" ht="15.75" customHeight="1">
      <c r="A183" s="222"/>
      <c r="B183" s="191"/>
      <c r="C183" s="403" t="s">
        <v>6</v>
      </c>
      <c r="D183" s="312">
        <v>1604695</v>
      </c>
      <c r="E183" s="312">
        <v>1615145</v>
      </c>
      <c r="F183" s="312">
        <v>2308265</v>
      </c>
      <c r="G183" s="312" t="s">
        <v>189</v>
      </c>
      <c r="H183" s="194">
        <f t="shared" si="12"/>
        <v>1.42913794117556</v>
      </c>
      <c r="I183" s="237"/>
      <c r="J183" s="402" t="s">
        <v>221</v>
      </c>
      <c r="K183" s="180"/>
      <c r="L183" s="180"/>
      <c r="M183" s="180"/>
      <c r="N183" s="180"/>
      <c r="O183" s="180"/>
      <c r="P183" s="180"/>
    </row>
    <row r="184" spans="1:16" s="211" customFormat="1" ht="18.75" customHeight="1">
      <c r="A184" s="222"/>
      <c r="B184" s="191"/>
      <c r="C184" s="192" t="s">
        <v>10</v>
      </c>
      <c r="D184" s="193"/>
      <c r="E184" s="193"/>
      <c r="F184" s="193"/>
      <c r="G184" s="193"/>
      <c r="H184" s="194"/>
      <c r="I184" s="237"/>
      <c r="J184" s="402"/>
      <c r="K184" s="180"/>
      <c r="L184" s="180"/>
      <c r="M184" s="180"/>
      <c r="N184" s="180"/>
      <c r="O184" s="180"/>
      <c r="P184" s="180"/>
    </row>
    <row r="185" spans="1:16" s="211" customFormat="1" ht="27" customHeight="1">
      <c r="A185" s="222"/>
      <c r="B185" s="191"/>
      <c r="C185" s="201" t="s">
        <v>11</v>
      </c>
      <c r="D185" s="312">
        <v>1129220</v>
      </c>
      <c r="E185" s="312">
        <v>1129220</v>
      </c>
      <c r="F185" s="312">
        <v>1731340</v>
      </c>
      <c r="G185" s="312"/>
      <c r="H185" s="194">
        <f>F185/E185</f>
        <v>1.5332176192416005</v>
      </c>
      <c r="I185" s="237"/>
      <c r="J185" s="402" t="s">
        <v>262</v>
      </c>
      <c r="K185" s="180"/>
      <c r="L185" s="180"/>
      <c r="M185" s="180"/>
      <c r="N185" s="180"/>
      <c r="O185" s="180"/>
      <c r="P185" s="180"/>
    </row>
    <row r="186" spans="1:16" s="211" customFormat="1" ht="14.25" customHeight="1">
      <c r="A186" s="222"/>
      <c r="B186" s="191"/>
      <c r="C186" s="201" t="s">
        <v>9</v>
      </c>
      <c r="D186" s="312">
        <v>18000</v>
      </c>
      <c r="E186" s="312">
        <v>23500</v>
      </c>
      <c r="F186" s="312">
        <v>8500</v>
      </c>
      <c r="G186" s="312"/>
      <c r="H186" s="194">
        <f>F186/E186</f>
        <v>0.3617021276595745</v>
      </c>
      <c r="I186" s="237"/>
      <c r="J186" s="402"/>
      <c r="K186" s="508">
        <f>F186</f>
        <v>8500</v>
      </c>
      <c r="L186" s="180"/>
      <c r="M186" s="180"/>
      <c r="N186" s="180"/>
      <c r="O186" s="180"/>
      <c r="P186" s="180"/>
    </row>
    <row r="187" spans="1:16" s="37" customFormat="1" ht="31.5">
      <c r="A187" s="213"/>
      <c r="B187" s="233">
        <v>85228</v>
      </c>
      <c r="C187" s="234" t="s">
        <v>74</v>
      </c>
      <c r="D187" s="235">
        <f>SUM(D188)</f>
        <v>10000</v>
      </c>
      <c r="E187" s="235">
        <f>SUM(E188)</f>
        <v>12000</v>
      </c>
      <c r="F187" s="235">
        <f>SUM(F188)</f>
        <v>10000</v>
      </c>
      <c r="G187" s="235" t="s">
        <v>189</v>
      </c>
      <c r="H187" s="236">
        <f aca="true" t="shared" si="13" ref="H187:H208">F187/E187</f>
        <v>0.8333333333333334</v>
      </c>
      <c r="I187" s="221"/>
      <c r="J187" s="506"/>
      <c r="K187" s="190"/>
      <c r="L187" s="190"/>
      <c r="M187" s="190"/>
      <c r="N187" s="190"/>
      <c r="O187" s="190"/>
      <c r="P187" s="190"/>
    </row>
    <row r="188" spans="1:16" s="211" customFormat="1" ht="20.25" customHeight="1">
      <c r="A188" s="191"/>
      <c r="B188" s="191"/>
      <c r="C188" s="192" t="s">
        <v>6</v>
      </c>
      <c r="D188" s="193">
        <v>10000</v>
      </c>
      <c r="E188" s="193">
        <v>12000</v>
      </c>
      <c r="F188" s="193">
        <v>10000</v>
      </c>
      <c r="G188" s="193"/>
      <c r="H188" s="194">
        <f t="shared" si="13"/>
        <v>0.8333333333333334</v>
      </c>
      <c r="I188" s="237"/>
      <c r="J188" s="402"/>
      <c r="K188" s="180"/>
      <c r="L188" s="180"/>
      <c r="M188" s="180"/>
      <c r="N188" s="180"/>
      <c r="O188" s="180"/>
      <c r="P188" s="180"/>
    </row>
    <row r="189" spans="1:16" s="211" customFormat="1" ht="15.75" customHeight="1">
      <c r="A189" s="191"/>
      <c r="B189" s="191"/>
      <c r="C189" s="192" t="s">
        <v>10</v>
      </c>
      <c r="D189" s="193"/>
      <c r="E189" s="193"/>
      <c r="F189" s="193"/>
      <c r="G189" s="193"/>
      <c r="H189" s="194"/>
      <c r="I189" s="237"/>
      <c r="J189" s="402"/>
      <c r="K189" s="180"/>
      <c r="L189" s="180"/>
      <c r="M189" s="180"/>
      <c r="N189" s="180"/>
      <c r="O189" s="180"/>
      <c r="P189" s="180"/>
    </row>
    <row r="190" spans="1:16" s="211" customFormat="1" ht="17.25" customHeight="1">
      <c r="A190" s="191"/>
      <c r="B190" s="223"/>
      <c r="C190" s="265" t="s">
        <v>13</v>
      </c>
      <c r="D190" s="202">
        <v>0</v>
      </c>
      <c r="E190" s="202">
        <v>2000</v>
      </c>
      <c r="F190" s="202"/>
      <c r="G190" s="202"/>
      <c r="H190" s="225">
        <f t="shared" si="13"/>
        <v>0</v>
      </c>
      <c r="I190" s="237"/>
      <c r="J190" s="402"/>
      <c r="K190" s="180"/>
      <c r="L190" s="180"/>
      <c r="M190" s="180"/>
      <c r="N190" s="180"/>
      <c r="O190" s="180"/>
      <c r="P190" s="180"/>
    </row>
    <row r="191" spans="1:16" s="211" customFormat="1" ht="18" customHeight="1">
      <c r="A191" s="191"/>
      <c r="B191" s="182">
        <v>85295</v>
      </c>
      <c r="C191" s="184" t="s">
        <v>5</v>
      </c>
      <c r="D191" s="185">
        <f>D192</f>
        <v>141150</v>
      </c>
      <c r="E191" s="185">
        <f>E192</f>
        <v>216400</v>
      </c>
      <c r="F191" s="185">
        <f>F192</f>
        <v>128170</v>
      </c>
      <c r="G191" s="193"/>
      <c r="H191" s="186">
        <f t="shared" si="13"/>
        <v>0.59228280961183</v>
      </c>
      <c r="I191" s="237"/>
      <c r="J191" s="402"/>
      <c r="K191" s="180"/>
      <c r="L191" s="180"/>
      <c r="M191" s="180"/>
      <c r="N191" s="180"/>
      <c r="O191" s="180"/>
      <c r="P191" s="180"/>
    </row>
    <row r="192" spans="1:16" s="211" customFormat="1" ht="18" customHeight="1">
      <c r="A192" s="191"/>
      <c r="B192" s="191"/>
      <c r="C192" s="192" t="s">
        <v>6</v>
      </c>
      <c r="D192" s="193">
        <v>141150</v>
      </c>
      <c r="E192" s="193">
        <v>216400</v>
      </c>
      <c r="F192" s="193">
        <v>128170</v>
      </c>
      <c r="G192" s="193"/>
      <c r="H192" s="194">
        <f t="shared" si="13"/>
        <v>0.59228280961183</v>
      </c>
      <c r="I192" s="237"/>
      <c r="J192" s="402"/>
      <c r="K192" s="180"/>
      <c r="L192" s="180"/>
      <c r="M192" s="180"/>
      <c r="N192" s="180"/>
      <c r="O192" s="180"/>
      <c r="P192" s="180"/>
    </row>
    <row r="193" spans="1:16" s="211" customFormat="1" ht="18" customHeight="1">
      <c r="A193" s="191"/>
      <c r="B193" s="191"/>
      <c r="C193" s="192" t="s">
        <v>222</v>
      </c>
      <c r="D193" s="193"/>
      <c r="E193" s="193"/>
      <c r="F193" s="193"/>
      <c r="G193" s="193"/>
      <c r="H193" s="194"/>
      <c r="I193" s="237"/>
      <c r="J193" s="402"/>
      <c r="K193" s="180"/>
      <c r="L193" s="180"/>
      <c r="M193" s="180"/>
      <c r="N193" s="180"/>
      <c r="O193" s="180"/>
      <c r="P193" s="180"/>
    </row>
    <row r="194" spans="1:16" s="211" customFormat="1" ht="32.25" customHeight="1" thickBot="1">
      <c r="A194" s="191"/>
      <c r="B194" s="191"/>
      <c r="C194" s="231" t="s">
        <v>11</v>
      </c>
      <c r="D194" s="193">
        <v>71350</v>
      </c>
      <c r="E194" s="193">
        <v>71350</v>
      </c>
      <c r="F194" s="193">
        <v>73200</v>
      </c>
      <c r="G194" s="193"/>
      <c r="H194" s="194" t="s">
        <v>193</v>
      </c>
      <c r="I194" s="237"/>
      <c r="J194" s="402"/>
      <c r="K194" s="180"/>
      <c r="L194" s="180"/>
      <c r="M194" s="180"/>
      <c r="N194" s="180"/>
      <c r="O194" s="180"/>
      <c r="P194" s="180"/>
    </row>
    <row r="195" spans="1:16" s="211" customFormat="1" ht="18.75" customHeight="1">
      <c r="A195" s="212">
        <v>853</v>
      </c>
      <c r="B195" s="254"/>
      <c r="C195" s="205" t="s">
        <v>25</v>
      </c>
      <c r="D195" s="206">
        <f>D196+D201</f>
        <v>484850</v>
      </c>
      <c r="E195" s="206">
        <f>E196+E201</f>
        <v>545960</v>
      </c>
      <c r="F195" s="206">
        <f>F196+F201</f>
        <v>511370</v>
      </c>
      <c r="G195" s="206"/>
      <c r="H195" s="207">
        <f t="shared" si="13"/>
        <v>0.9366437101619166</v>
      </c>
      <c r="I195" s="237"/>
      <c r="J195" s="402"/>
      <c r="K195" s="180"/>
      <c r="L195" s="180"/>
      <c r="M195" s="180"/>
      <c r="N195" s="180"/>
      <c r="O195" s="180"/>
      <c r="P195" s="180"/>
    </row>
    <row r="196" spans="1:16" s="211" customFormat="1" ht="19.5" customHeight="1">
      <c r="A196" s="213"/>
      <c r="B196" s="233">
        <v>85305</v>
      </c>
      <c r="C196" s="234" t="s">
        <v>23</v>
      </c>
      <c r="D196" s="235">
        <f>D197+D200</f>
        <v>426850</v>
      </c>
      <c r="E196" s="235">
        <f>E197+E200</f>
        <v>462960</v>
      </c>
      <c r="F196" s="235">
        <f>F197+F200</f>
        <v>451870</v>
      </c>
      <c r="G196" s="235"/>
      <c r="H196" s="264">
        <f t="shared" si="13"/>
        <v>0.9760454466908588</v>
      </c>
      <c r="I196" s="237"/>
      <c r="J196" s="402"/>
      <c r="K196" s="180"/>
      <c r="L196" s="180"/>
      <c r="M196" s="180"/>
      <c r="N196" s="180"/>
      <c r="O196" s="180"/>
      <c r="P196" s="180"/>
    </row>
    <row r="197" spans="1:16" s="211" customFormat="1" ht="18.75" customHeight="1">
      <c r="A197" s="222"/>
      <c r="B197" s="191"/>
      <c r="C197" s="192" t="s">
        <v>6</v>
      </c>
      <c r="D197" s="193">
        <v>421850</v>
      </c>
      <c r="E197" s="193">
        <v>457960</v>
      </c>
      <c r="F197" s="193">
        <v>451870</v>
      </c>
      <c r="G197" s="193"/>
      <c r="H197" s="194">
        <f t="shared" si="13"/>
        <v>0.9867018953620403</v>
      </c>
      <c r="I197" s="237"/>
      <c r="J197" s="402"/>
      <c r="K197" s="180"/>
      <c r="L197" s="180"/>
      <c r="M197" s="180"/>
      <c r="N197" s="180"/>
      <c r="O197" s="180"/>
      <c r="P197" s="180"/>
    </row>
    <row r="198" spans="1:16" s="211" customFormat="1" ht="16.5" customHeight="1">
      <c r="A198" s="222"/>
      <c r="B198" s="191"/>
      <c r="C198" s="192" t="s">
        <v>10</v>
      </c>
      <c r="D198" s="193"/>
      <c r="E198" s="193"/>
      <c r="F198" s="193"/>
      <c r="G198" s="193"/>
      <c r="H198" s="194"/>
      <c r="I198" s="237"/>
      <c r="J198" s="402"/>
      <c r="K198" s="180"/>
      <c r="L198" s="180"/>
      <c r="M198" s="180"/>
      <c r="N198" s="180"/>
      <c r="O198" s="180"/>
      <c r="P198" s="180"/>
    </row>
    <row r="199" spans="1:16" s="211" customFormat="1" ht="15" customHeight="1">
      <c r="A199" s="366" t="s">
        <v>223</v>
      </c>
      <c r="B199" s="365"/>
      <c r="C199" s="201" t="s">
        <v>11</v>
      </c>
      <c r="D199" s="312">
        <v>316600</v>
      </c>
      <c r="E199" s="312">
        <v>316600</v>
      </c>
      <c r="F199" s="312">
        <v>327900</v>
      </c>
      <c r="G199" s="312" t="s">
        <v>189</v>
      </c>
      <c r="H199" s="194">
        <f>F199/E199</f>
        <v>1.0356917245735944</v>
      </c>
      <c r="I199" s="237"/>
      <c r="J199" s="402"/>
      <c r="K199" s="180"/>
      <c r="L199" s="180"/>
      <c r="M199" s="180"/>
      <c r="N199" s="180"/>
      <c r="O199" s="180"/>
      <c r="P199" s="180"/>
    </row>
    <row r="200" spans="1:16" s="211" customFormat="1" ht="15" customHeight="1">
      <c r="A200" s="366"/>
      <c r="B200" s="365"/>
      <c r="C200" s="201" t="s">
        <v>9</v>
      </c>
      <c r="D200" s="312">
        <v>5000</v>
      </c>
      <c r="E200" s="312">
        <v>5000</v>
      </c>
      <c r="F200" s="312">
        <v>0</v>
      </c>
      <c r="G200" s="312"/>
      <c r="H200" s="194">
        <f>F200/E200</f>
        <v>0</v>
      </c>
      <c r="I200" s="237"/>
      <c r="J200" s="402"/>
      <c r="K200" s="508">
        <f>F200</f>
        <v>0</v>
      </c>
      <c r="L200" s="180"/>
      <c r="M200" s="180"/>
      <c r="N200" s="180"/>
      <c r="O200" s="180"/>
      <c r="P200" s="180"/>
    </row>
    <row r="201" spans="1:16" s="211" customFormat="1" ht="18.75" customHeight="1">
      <c r="A201" s="213"/>
      <c r="B201" s="233">
        <v>85395</v>
      </c>
      <c r="C201" s="234" t="s">
        <v>224</v>
      </c>
      <c r="D201" s="235">
        <f>D202+D205</f>
        <v>58000</v>
      </c>
      <c r="E201" s="235">
        <f>E202+E205</f>
        <v>83000</v>
      </c>
      <c r="F201" s="235">
        <f>F202+F205</f>
        <v>59500</v>
      </c>
      <c r="G201" s="235"/>
      <c r="H201" s="236">
        <f t="shared" si="13"/>
        <v>0.7168674698795181</v>
      </c>
      <c r="I201" s="237"/>
      <c r="J201" s="402"/>
      <c r="K201" s="180"/>
      <c r="L201" s="180"/>
      <c r="M201" s="180"/>
      <c r="N201" s="180"/>
      <c r="O201" s="180"/>
      <c r="P201" s="180"/>
    </row>
    <row r="202" spans="1:16" s="211" customFormat="1" ht="17.25" customHeight="1">
      <c r="A202" s="191"/>
      <c r="B202" s="191"/>
      <c r="C202" s="231" t="s">
        <v>6</v>
      </c>
      <c r="D202" s="193">
        <v>58000</v>
      </c>
      <c r="E202" s="193">
        <v>58000</v>
      </c>
      <c r="F202" s="193">
        <v>59500</v>
      </c>
      <c r="G202" s="193" t="s">
        <v>189</v>
      </c>
      <c r="H202" s="194">
        <f t="shared" si="13"/>
        <v>1.0258620689655173</v>
      </c>
      <c r="I202" s="404" t="s">
        <v>225</v>
      </c>
      <c r="J202" s="337"/>
      <c r="K202" s="180"/>
      <c r="L202" s="180"/>
      <c r="M202" s="180"/>
      <c r="N202" s="180"/>
      <c r="O202" s="180"/>
      <c r="P202" s="180"/>
    </row>
    <row r="203" spans="1:16" s="211" customFormat="1" ht="17.25" customHeight="1">
      <c r="A203" s="191"/>
      <c r="B203" s="191"/>
      <c r="C203" s="231" t="s">
        <v>10</v>
      </c>
      <c r="D203" s="193"/>
      <c r="E203" s="193"/>
      <c r="F203" s="193"/>
      <c r="G203" s="193"/>
      <c r="H203" s="194"/>
      <c r="I203" s="405"/>
      <c r="J203" s="406"/>
      <c r="K203" s="180"/>
      <c r="L203" s="180"/>
      <c r="M203" s="180"/>
      <c r="N203" s="180"/>
      <c r="O203" s="180"/>
      <c r="P203" s="180"/>
    </row>
    <row r="204" spans="1:16" s="211" customFormat="1" ht="17.25" customHeight="1">
      <c r="A204" s="191"/>
      <c r="B204" s="191"/>
      <c r="C204" s="201" t="s">
        <v>11</v>
      </c>
      <c r="D204" s="312">
        <v>33400</v>
      </c>
      <c r="E204" s="312">
        <v>33404</v>
      </c>
      <c r="F204" s="312">
        <v>34600</v>
      </c>
      <c r="G204" s="312"/>
      <c r="H204" s="194">
        <f t="shared" si="13"/>
        <v>1.035804095317926</v>
      </c>
      <c r="I204" s="237"/>
      <c r="J204" s="402"/>
      <c r="K204" s="180"/>
      <c r="L204" s="180"/>
      <c r="M204" s="180"/>
      <c r="N204" s="180"/>
      <c r="O204" s="180"/>
      <c r="P204" s="180"/>
    </row>
    <row r="205" spans="1:16" s="211" customFormat="1" ht="16.5" customHeight="1" thickBot="1">
      <c r="A205" s="191"/>
      <c r="B205" s="191"/>
      <c r="C205" s="201" t="s">
        <v>9</v>
      </c>
      <c r="D205" s="312">
        <v>0</v>
      </c>
      <c r="E205" s="312">
        <v>25000</v>
      </c>
      <c r="F205" s="312">
        <v>0</v>
      </c>
      <c r="G205" s="312"/>
      <c r="H205" s="194"/>
      <c r="I205" s="237"/>
      <c r="J205" s="402"/>
      <c r="K205" s="508">
        <f>F205</f>
        <v>0</v>
      </c>
      <c r="L205" s="180"/>
      <c r="M205" s="180"/>
      <c r="N205" s="180"/>
      <c r="O205" s="180"/>
      <c r="P205" s="180"/>
    </row>
    <row r="206" spans="1:16" s="181" customFormat="1" ht="44.25" customHeight="1">
      <c r="A206" s="212">
        <v>854</v>
      </c>
      <c r="B206" s="254"/>
      <c r="C206" s="205" t="s">
        <v>77</v>
      </c>
      <c r="D206" s="206">
        <f>D207+D211</f>
        <v>1093200</v>
      </c>
      <c r="E206" s="206">
        <f>E207+E211</f>
        <v>1112429</v>
      </c>
      <c r="F206" s="206">
        <f>F207+F211</f>
        <v>1087600</v>
      </c>
      <c r="G206" s="206"/>
      <c r="H206" s="207">
        <f t="shared" si="13"/>
        <v>0.977680373309218</v>
      </c>
      <c r="I206" s="220"/>
      <c r="J206" s="402"/>
      <c r="K206" s="180"/>
      <c r="L206" s="180"/>
      <c r="M206" s="180"/>
      <c r="N206" s="180"/>
      <c r="O206" s="180"/>
      <c r="P206" s="180"/>
    </row>
    <row r="207" spans="1:16" s="37" customFormat="1" ht="21.75" customHeight="1">
      <c r="A207" s="182"/>
      <c r="B207" s="182">
        <v>85401</v>
      </c>
      <c r="C207" s="184" t="s">
        <v>79</v>
      </c>
      <c r="D207" s="185">
        <f>D208</f>
        <v>950600</v>
      </c>
      <c r="E207" s="185">
        <f>E208</f>
        <v>971829</v>
      </c>
      <c r="F207" s="185">
        <f>F208</f>
        <v>972000</v>
      </c>
      <c r="G207" s="185"/>
      <c r="H207" s="208">
        <f t="shared" si="13"/>
        <v>1.0001759568813031</v>
      </c>
      <c r="I207" s="221"/>
      <c r="J207" s="506"/>
      <c r="K207" s="190"/>
      <c r="L207" s="190"/>
      <c r="M207" s="190"/>
      <c r="N207" s="190"/>
      <c r="O207" s="190"/>
      <c r="P207" s="190"/>
    </row>
    <row r="208" spans="1:16" s="211" customFormat="1" ht="15.75" customHeight="1">
      <c r="A208" s="191"/>
      <c r="B208" s="191"/>
      <c r="C208" s="192" t="s">
        <v>6</v>
      </c>
      <c r="D208" s="193">
        <v>950600</v>
      </c>
      <c r="E208" s="193">
        <v>971829</v>
      </c>
      <c r="F208" s="193">
        <v>972000</v>
      </c>
      <c r="G208" s="193"/>
      <c r="H208" s="194">
        <f t="shared" si="13"/>
        <v>1.0001759568813031</v>
      </c>
      <c r="I208" s="237"/>
      <c r="J208" s="402"/>
      <c r="K208" s="180"/>
      <c r="L208" s="180"/>
      <c r="M208" s="180"/>
      <c r="N208" s="180"/>
      <c r="O208" s="180"/>
      <c r="P208" s="180"/>
    </row>
    <row r="209" spans="1:16" s="211" customFormat="1" ht="18.75" customHeight="1">
      <c r="A209" s="191"/>
      <c r="B209" s="191"/>
      <c r="C209" s="192" t="s">
        <v>10</v>
      </c>
      <c r="D209" s="193"/>
      <c r="E209" s="193"/>
      <c r="F209" s="193"/>
      <c r="G209" s="193"/>
      <c r="H209" s="194"/>
      <c r="I209" s="237"/>
      <c r="J209" s="402"/>
      <c r="K209" s="180"/>
      <c r="L209" s="180"/>
      <c r="M209" s="180"/>
      <c r="N209" s="180"/>
      <c r="O209" s="180"/>
      <c r="P209" s="180"/>
    </row>
    <row r="210" spans="1:16" s="1" customFormat="1" ht="18" customHeight="1">
      <c r="A210" s="365"/>
      <c r="B210" s="365"/>
      <c r="C210" s="201" t="s">
        <v>11</v>
      </c>
      <c r="D210" s="312">
        <v>836000</v>
      </c>
      <c r="E210" s="312">
        <v>867639</v>
      </c>
      <c r="F210" s="312">
        <v>871000</v>
      </c>
      <c r="G210" s="312" t="s">
        <v>189</v>
      </c>
      <c r="H210" s="194">
        <f>F210/E210</f>
        <v>1.003873730894992</v>
      </c>
      <c r="I210" s="305"/>
      <c r="J210" s="402"/>
      <c r="K210" s="306"/>
      <c r="L210" s="306"/>
      <c r="M210" s="306"/>
      <c r="N210" s="306"/>
      <c r="O210" s="306"/>
      <c r="P210" s="306"/>
    </row>
    <row r="211" spans="1:16" s="37" customFormat="1" ht="66" customHeight="1">
      <c r="A211" s="182"/>
      <c r="B211" s="233">
        <v>85412</v>
      </c>
      <c r="C211" s="234" t="s">
        <v>178</v>
      </c>
      <c r="D211" s="235">
        <f>D212</f>
        <v>142600</v>
      </c>
      <c r="E211" s="235">
        <f>E212</f>
        <v>140600</v>
      </c>
      <c r="F211" s="235">
        <f>F212</f>
        <v>115600</v>
      </c>
      <c r="G211" s="235"/>
      <c r="H211" s="236">
        <f>F211/E211</f>
        <v>0.8221906116642959</v>
      </c>
      <c r="I211" s="221"/>
      <c r="J211" s="402" t="s">
        <v>258</v>
      </c>
      <c r="K211" s="190"/>
      <c r="L211" s="190"/>
      <c r="M211" s="190"/>
      <c r="N211" s="190"/>
      <c r="O211" s="190"/>
      <c r="P211" s="190"/>
    </row>
    <row r="212" spans="1:16" s="211" customFormat="1" ht="14.25" customHeight="1">
      <c r="A212" s="222"/>
      <c r="B212" s="191"/>
      <c r="C212" s="192" t="s">
        <v>6</v>
      </c>
      <c r="D212" s="193">
        <v>142600</v>
      </c>
      <c r="E212" s="193">
        <v>140600</v>
      </c>
      <c r="F212" s="193">
        <v>115600</v>
      </c>
      <c r="G212" s="193"/>
      <c r="H212" s="368">
        <f>F212/E212</f>
        <v>0.8221906116642959</v>
      </c>
      <c r="I212" s="237"/>
      <c r="J212" s="402"/>
      <c r="K212" s="180"/>
      <c r="L212" s="180"/>
      <c r="M212" s="180"/>
      <c r="N212" s="180"/>
      <c r="O212" s="180"/>
      <c r="P212" s="180"/>
    </row>
    <row r="213" spans="1:16" s="211" customFormat="1" ht="14.25" customHeight="1">
      <c r="A213" s="222"/>
      <c r="B213" s="191"/>
      <c r="C213" s="192" t="s">
        <v>10</v>
      </c>
      <c r="D213" s="193" t="s">
        <v>193</v>
      </c>
      <c r="E213" s="193"/>
      <c r="F213" s="193"/>
      <c r="G213" s="193"/>
      <c r="H213" s="194"/>
      <c r="I213" s="237"/>
      <c r="J213" s="402"/>
      <c r="K213" s="180"/>
      <c r="L213" s="180"/>
      <c r="M213" s="180"/>
      <c r="N213" s="180"/>
      <c r="O213" s="180"/>
      <c r="P213" s="180"/>
    </row>
    <row r="214" spans="1:16" s="211" customFormat="1" ht="19.5" customHeight="1">
      <c r="A214" s="222"/>
      <c r="B214" s="191"/>
      <c r="C214" s="201" t="s">
        <v>11</v>
      </c>
      <c r="D214" s="193">
        <v>300</v>
      </c>
      <c r="E214" s="312">
        <v>300</v>
      </c>
      <c r="F214" s="312">
        <v>22300</v>
      </c>
      <c r="G214" s="312"/>
      <c r="H214" s="194"/>
      <c r="I214" s="237"/>
      <c r="J214" s="402"/>
      <c r="K214" s="180"/>
      <c r="L214" s="180"/>
      <c r="M214" s="180"/>
      <c r="N214" s="180"/>
      <c r="O214" s="180"/>
      <c r="P214" s="180"/>
    </row>
    <row r="215" spans="1:16" s="211" customFormat="1" ht="21" customHeight="1" thickBot="1">
      <c r="A215" s="222"/>
      <c r="B215" s="223"/>
      <c r="C215" s="224" t="s">
        <v>13</v>
      </c>
      <c r="D215" s="378">
        <v>57000</v>
      </c>
      <c r="E215" s="378">
        <v>83600</v>
      </c>
      <c r="F215" s="378">
        <v>57000</v>
      </c>
      <c r="G215" s="378" t="s">
        <v>189</v>
      </c>
      <c r="H215" s="225">
        <f>F215/E215</f>
        <v>0.6818181818181818</v>
      </c>
      <c r="I215" s="237"/>
      <c r="J215" s="402"/>
      <c r="K215" s="180"/>
      <c r="L215" s="180"/>
      <c r="M215" s="180"/>
      <c r="N215" s="180"/>
      <c r="O215" s="180"/>
      <c r="P215" s="180"/>
    </row>
    <row r="216" spans="1:16" s="181" customFormat="1" ht="42" customHeight="1">
      <c r="A216" s="212">
        <v>900</v>
      </c>
      <c r="B216" s="254"/>
      <c r="C216" s="205" t="s">
        <v>82</v>
      </c>
      <c r="D216" s="206">
        <f>D217+D219+D221+D223+D228+D230+D235+D233</f>
        <v>4453778</v>
      </c>
      <c r="E216" s="206">
        <f>E217+E219+E221+E223+E228+E230+E235+E233</f>
        <v>4157870</v>
      </c>
      <c r="F216" s="407">
        <f>F217+F219+F221+F223+F228+F230+F235+F233</f>
        <v>4819000</v>
      </c>
      <c r="G216" s="206"/>
      <c r="H216" s="207">
        <f aca="true" t="shared" si="14" ref="H216:H236">F216/E216</f>
        <v>1.1590068953574788</v>
      </c>
      <c r="I216" s="220"/>
      <c r="J216" s="402"/>
      <c r="K216" s="180"/>
      <c r="L216" s="180"/>
      <c r="M216" s="180"/>
      <c r="N216" s="180"/>
      <c r="O216" s="180"/>
      <c r="P216" s="180"/>
    </row>
    <row r="217" spans="1:16" s="37" customFormat="1" ht="35.25" customHeight="1">
      <c r="A217" s="213"/>
      <c r="B217" s="182">
        <v>90001</v>
      </c>
      <c r="C217" s="184" t="s">
        <v>110</v>
      </c>
      <c r="D217" s="185">
        <f>D218</f>
        <v>1150000</v>
      </c>
      <c r="E217" s="185">
        <f>E218</f>
        <v>710000</v>
      </c>
      <c r="F217" s="408">
        <f>F218</f>
        <v>30000</v>
      </c>
      <c r="G217" s="185"/>
      <c r="H217" s="208">
        <f t="shared" si="14"/>
        <v>0.04225352112676056</v>
      </c>
      <c r="I217" s="221"/>
      <c r="J217" s="506"/>
      <c r="K217" s="190"/>
      <c r="L217" s="190"/>
      <c r="M217" s="190"/>
      <c r="N217" s="190"/>
      <c r="O217" s="190"/>
      <c r="P217" s="190"/>
    </row>
    <row r="218" spans="1:16" s="211" customFormat="1" ht="15.75" customHeight="1">
      <c r="A218" s="222"/>
      <c r="B218" s="222"/>
      <c r="C218" s="403" t="s">
        <v>9</v>
      </c>
      <c r="D218" s="193">
        <v>1150000</v>
      </c>
      <c r="E218" s="193">
        <v>710000</v>
      </c>
      <c r="F218" s="193">
        <v>30000</v>
      </c>
      <c r="G218" s="193"/>
      <c r="H218" s="194">
        <f t="shared" si="14"/>
        <v>0.04225352112676056</v>
      </c>
      <c r="I218" s="237"/>
      <c r="J218" s="402"/>
      <c r="K218" s="508">
        <f>F218</f>
        <v>30000</v>
      </c>
      <c r="L218" s="180"/>
      <c r="M218" s="180"/>
      <c r="N218" s="180"/>
      <c r="O218" s="180"/>
      <c r="P218" s="180"/>
    </row>
    <row r="219" spans="1:16" s="211" customFormat="1" ht="19.5" customHeight="1">
      <c r="A219" s="182"/>
      <c r="B219" s="233">
        <v>90002</v>
      </c>
      <c r="C219" s="234" t="s">
        <v>162</v>
      </c>
      <c r="D219" s="235">
        <f>D220</f>
        <v>0</v>
      </c>
      <c r="E219" s="235">
        <f>E220</f>
        <v>0</v>
      </c>
      <c r="F219" s="235">
        <f>F220</f>
        <v>0</v>
      </c>
      <c r="G219" s="235"/>
      <c r="H219" s="236"/>
      <c r="I219" s="237"/>
      <c r="J219" s="402"/>
      <c r="K219" s="180"/>
      <c r="L219" s="180"/>
      <c r="M219" s="180"/>
      <c r="N219" s="180"/>
      <c r="O219" s="180"/>
      <c r="P219" s="180"/>
    </row>
    <row r="220" spans="1:16" s="211" customFormat="1" ht="20.25" customHeight="1">
      <c r="A220" s="191"/>
      <c r="B220" s="191"/>
      <c r="C220" s="192" t="s">
        <v>6</v>
      </c>
      <c r="D220" s="193">
        <v>0</v>
      </c>
      <c r="E220" s="193">
        <v>0</v>
      </c>
      <c r="F220" s="193">
        <v>0</v>
      </c>
      <c r="G220" s="193"/>
      <c r="H220" s="194"/>
      <c r="I220" s="237"/>
      <c r="J220" s="402"/>
      <c r="K220" s="180"/>
      <c r="L220" s="180"/>
      <c r="M220" s="180"/>
      <c r="N220" s="180"/>
      <c r="O220" s="180"/>
      <c r="P220" s="180"/>
    </row>
    <row r="221" spans="1:16" s="211" customFormat="1" ht="21.75" customHeight="1">
      <c r="A221" s="182"/>
      <c r="B221" s="233">
        <v>90003</v>
      </c>
      <c r="C221" s="234" t="s">
        <v>84</v>
      </c>
      <c r="D221" s="235">
        <f>D222</f>
        <v>913778</v>
      </c>
      <c r="E221" s="235">
        <f>E222</f>
        <v>917578</v>
      </c>
      <c r="F221" s="235">
        <f>F222</f>
        <v>1190000</v>
      </c>
      <c r="G221" s="235"/>
      <c r="H221" s="236">
        <f t="shared" si="14"/>
        <v>1.296892471266748</v>
      </c>
      <c r="I221" s="237"/>
      <c r="J221" s="402"/>
      <c r="K221" s="180"/>
      <c r="L221" s="180"/>
      <c r="M221" s="180"/>
      <c r="N221" s="180"/>
      <c r="O221" s="180"/>
      <c r="P221" s="180"/>
    </row>
    <row r="222" spans="1:16" s="211" customFormat="1" ht="22.5" customHeight="1">
      <c r="A222" s="191"/>
      <c r="B222" s="191"/>
      <c r="C222" s="192" t="s">
        <v>6</v>
      </c>
      <c r="D222" s="193">
        <v>913778</v>
      </c>
      <c r="E222" s="193">
        <v>917578</v>
      </c>
      <c r="F222" s="193">
        <v>1190000</v>
      </c>
      <c r="G222" s="193" t="s">
        <v>189</v>
      </c>
      <c r="H222" s="194">
        <f t="shared" si="14"/>
        <v>1.296892471266748</v>
      </c>
      <c r="I222" s="237"/>
      <c r="J222" s="402"/>
      <c r="K222" s="180"/>
      <c r="L222" s="180"/>
      <c r="M222" s="180"/>
      <c r="N222" s="180"/>
      <c r="O222" s="180"/>
      <c r="P222" s="180"/>
    </row>
    <row r="223" spans="1:16" s="211" customFormat="1" ht="31.5">
      <c r="A223" s="182"/>
      <c r="B223" s="233">
        <v>90004</v>
      </c>
      <c r="C223" s="234" t="s">
        <v>86</v>
      </c>
      <c r="D223" s="235">
        <f>D224+D227</f>
        <v>365000</v>
      </c>
      <c r="E223" s="235">
        <f>E224+E227</f>
        <v>398200</v>
      </c>
      <c r="F223" s="235">
        <f>F224+F227</f>
        <v>445000</v>
      </c>
      <c r="G223" s="235"/>
      <c r="H223" s="236">
        <f t="shared" si="14"/>
        <v>1.117528879959819</v>
      </c>
      <c r="I223" s="237"/>
      <c r="J223" s="402"/>
      <c r="K223" s="180"/>
      <c r="L223" s="180"/>
      <c r="M223" s="180"/>
      <c r="N223" s="180"/>
      <c r="O223" s="180"/>
      <c r="P223" s="180"/>
    </row>
    <row r="224" spans="1:16" s="211" customFormat="1" ht="18" customHeight="1">
      <c r="A224" s="191"/>
      <c r="B224" s="191"/>
      <c r="C224" s="192" t="s">
        <v>6</v>
      </c>
      <c r="D224" s="193">
        <v>275000</v>
      </c>
      <c r="E224" s="193">
        <v>301200</v>
      </c>
      <c r="F224" s="193">
        <v>355000</v>
      </c>
      <c r="G224" s="193" t="s">
        <v>189</v>
      </c>
      <c r="H224" s="194">
        <f t="shared" si="14"/>
        <v>1.1786188579017265</v>
      </c>
      <c r="I224" s="237"/>
      <c r="J224" s="402"/>
      <c r="K224" s="180"/>
      <c r="L224" s="180"/>
      <c r="M224" s="180"/>
      <c r="N224" s="180"/>
      <c r="O224" s="180"/>
      <c r="P224" s="180"/>
    </row>
    <row r="225" spans="1:16" s="211" customFormat="1" ht="18" customHeight="1">
      <c r="A225" s="191"/>
      <c r="B225" s="191"/>
      <c r="C225" s="192" t="s">
        <v>10</v>
      </c>
      <c r="D225" s="193"/>
      <c r="E225" s="193"/>
      <c r="F225" s="193"/>
      <c r="G225" s="193"/>
      <c r="H225" s="194"/>
      <c r="I225" s="237"/>
      <c r="J225" s="402"/>
      <c r="K225" s="180"/>
      <c r="L225" s="180"/>
      <c r="M225" s="180"/>
      <c r="N225" s="180"/>
      <c r="O225" s="180"/>
      <c r="P225" s="180"/>
    </row>
    <row r="226" spans="1:16" s="211" customFormat="1" ht="18" customHeight="1">
      <c r="A226" s="191"/>
      <c r="B226" s="191"/>
      <c r="C226" s="201" t="s">
        <v>11</v>
      </c>
      <c r="D226" s="193">
        <v>0</v>
      </c>
      <c r="E226" s="193">
        <v>140</v>
      </c>
      <c r="F226" s="193">
        <v>0</v>
      </c>
      <c r="G226" s="193"/>
      <c r="H226" s="194">
        <f t="shared" si="14"/>
        <v>0</v>
      </c>
      <c r="I226" s="237"/>
      <c r="J226" s="402"/>
      <c r="K226" s="180"/>
      <c r="L226" s="180"/>
      <c r="M226" s="180"/>
      <c r="N226" s="180"/>
      <c r="O226" s="180"/>
      <c r="P226" s="180"/>
    </row>
    <row r="227" spans="1:16" s="211" customFormat="1" ht="15">
      <c r="A227" s="191"/>
      <c r="B227" s="191"/>
      <c r="C227" s="192" t="s">
        <v>9</v>
      </c>
      <c r="D227" s="193">
        <v>90000</v>
      </c>
      <c r="E227" s="193">
        <v>97000</v>
      </c>
      <c r="F227" s="193">
        <v>90000</v>
      </c>
      <c r="G227" s="193"/>
      <c r="H227" s="194">
        <f t="shared" si="14"/>
        <v>0.9278350515463918</v>
      </c>
      <c r="I227" s="237"/>
      <c r="J227" s="402" t="s">
        <v>226</v>
      </c>
      <c r="K227" s="508">
        <f>F227</f>
        <v>90000</v>
      </c>
      <c r="L227" s="180"/>
      <c r="M227" s="180"/>
      <c r="N227" s="180"/>
      <c r="O227" s="180"/>
      <c r="P227" s="180"/>
    </row>
    <row r="228" spans="1:16" s="211" customFormat="1" ht="21.75" customHeight="1">
      <c r="A228" s="191"/>
      <c r="B228" s="233">
        <v>90013</v>
      </c>
      <c r="C228" s="234" t="s">
        <v>119</v>
      </c>
      <c r="D228" s="235">
        <f>D229</f>
        <v>30000</v>
      </c>
      <c r="E228" s="235">
        <f>E229</f>
        <v>37000</v>
      </c>
      <c r="F228" s="235">
        <f>F229</f>
        <v>38000</v>
      </c>
      <c r="G228" s="235"/>
      <c r="H228" s="236">
        <f t="shared" si="14"/>
        <v>1.027027027027027</v>
      </c>
      <c r="I228" s="237"/>
      <c r="J228" s="402"/>
      <c r="K228" s="180"/>
      <c r="L228" s="180"/>
      <c r="M228" s="180"/>
      <c r="N228" s="180"/>
      <c r="O228" s="180"/>
      <c r="P228" s="180"/>
    </row>
    <row r="229" spans="1:16" s="211" customFormat="1" ht="21" customHeight="1">
      <c r="A229" s="191"/>
      <c r="B229" s="191"/>
      <c r="C229" s="192" t="s">
        <v>6</v>
      </c>
      <c r="D229" s="193">
        <v>30000</v>
      </c>
      <c r="E229" s="193">
        <v>37000</v>
      </c>
      <c r="F229" s="193">
        <v>38000</v>
      </c>
      <c r="G229" s="193" t="s">
        <v>189</v>
      </c>
      <c r="H229" s="194">
        <f t="shared" si="14"/>
        <v>1.027027027027027</v>
      </c>
      <c r="I229" s="237"/>
      <c r="J229" s="402"/>
      <c r="K229" s="180"/>
      <c r="L229" s="180"/>
      <c r="M229" s="180"/>
      <c r="N229" s="180"/>
      <c r="O229" s="180"/>
      <c r="P229" s="180"/>
    </row>
    <row r="230" spans="1:16" s="211" customFormat="1" ht="21.75" customHeight="1">
      <c r="A230" s="191"/>
      <c r="B230" s="233">
        <v>90015</v>
      </c>
      <c r="C230" s="234" t="s">
        <v>227</v>
      </c>
      <c r="D230" s="235">
        <f>D231+D232</f>
        <v>1680000</v>
      </c>
      <c r="E230" s="235">
        <f>E231+E232</f>
        <v>1772769</v>
      </c>
      <c r="F230" s="235">
        <f>F231+F232</f>
        <v>1904000</v>
      </c>
      <c r="G230" s="235"/>
      <c r="H230" s="236">
        <f t="shared" si="14"/>
        <v>1.0740260011315632</v>
      </c>
      <c r="I230" s="237"/>
      <c r="J230" s="402"/>
      <c r="K230" s="180"/>
      <c r="L230" s="180"/>
      <c r="M230" s="180"/>
      <c r="N230" s="180"/>
      <c r="O230" s="180"/>
      <c r="P230" s="180"/>
    </row>
    <row r="231" spans="1:16" s="211" customFormat="1" ht="22.5" customHeight="1">
      <c r="A231" s="191"/>
      <c r="B231" s="191"/>
      <c r="C231" s="192" t="s">
        <v>6</v>
      </c>
      <c r="D231" s="193">
        <v>1600000</v>
      </c>
      <c r="E231" s="193">
        <v>1692769</v>
      </c>
      <c r="F231" s="193">
        <v>1800000</v>
      </c>
      <c r="G231" s="193"/>
      <c r="H231" s="194">
        <f t="shared" si="14"/>
        <v>1.0633465050458746</v>
      </c>
      <c r="I231" s="237"/>
      <c r="J231" s="402"/>
      <c r="K231" s="180"/>
      <c r="L231" s="180"/>
      <c r="M231" s="180"/>
      <c r="N231" s="180"/>
      <c r="O231" s="180"/>
      <c r="P231" s="180"/>
    </row>
    <row r="232" spans="1:16" s="211" customFormat="1" ht="20.25" customHeight="1">
      <c r="A232" s="191"/>
      <c r="B232" s="223"/>
      <c r="C232" s="265" t="s">
        <v>9</v>
      </c>
      <c r="D232" s="202">
        <v>80000</v>
      </c>
      <c r="E232" s="202">
        <v>80000</v>
      </c>
      <c r="F232" s="202">
        <v>104000</v>
      </c>
      <c r="G232" s="202"/>
      <c r="H232" s="225">
        <f t="shared" si="14"/>
        <v>1.3</v>
      </c>
      <c r="I232" s="237"/>
      <c r="J232" s="402"/>
      <c r="K232" s="508">
        <f>F232</f>
        <v>104000</v>
      </c>
      <c r="L232" s="180"/>
      <c r="M232" s="180"/>
      <c r="N232" s="180"/>
      <c r="O232" s="180"/>
      <c r="P232" s="180"/>
    </row>
    <row r="233" spans="1:16" s="211" customFormat="1" ht="48" customHeight="1">
      <c r="A233" s="191"/>
      <c r="B233" s="182">
        <v>90020</v>
      </c>
      <c r="C233" s="266" t="s">
        <v>228</v>
      </c>
      <c r="D233" s="185">
        <f>D234</f>
        <v>0</v>
      </c>
      <c r="E233" s="185">
        <f>E234</f>
        <v>14323</v>
      </c>
      <c r="F233" s="185">
        <f>F234</f>
        <v>0</v>
      </c>
      <c r="G233" s="193"/>
      <c r="H233" s="186">
        <f t="shared" si="14"/>
        <v>0</v>
      </c>
      <c r="I233" s="237"/>
      <c r="J233" s="402"/>
      <c r="K233" s="180"/>
      <c r="L233" s="180"/>
      <c r="M233" s="180"/>
      <c r="N233" s="180"/>
      <c r="O233" s="180"/>
      <c r="P233" s="180"/>
    </row>
    <row r="234" spans="1:16" s="211" customFormat="1" ht="15" customHeight="1">
      <c r="A234" s="191"/>
      <c r="B234" s="191"/>
      <c r="C234" s="192" t="s">
        <v>6</v>
      </c>
      <c r="D234" s="193">
        <v>0</v>
      </c>
      <c r="E234" s="193">
        <v>14323</v>
      </c>
      <c r="F234" s="193">
        <v>0</v>
      </c>
      <c r="G234" s="193"/>
      <c r="H234" s="194">
        <f t="shared" si="14"/>
        <v>0</v>
      </c>
      <c r="I234" s="237"/>
      <c r="J234" s="402"/>
      <c r="K234" s="180"/>
      <c r="L234" s="180"/>
      <c r="M234" s="180"/>
      <c r="N234" s="180"/>
      <c r="O234" s="180"/>
      <c r="P234" s="180"/>
    </row>
    <row r="235" spans="1:16" s="211" customFormat="1" ht="18.75" customHeight="1">
      <c r="A235" s="191"/>
      <c r="B235" s="233">
        <v>90095</v>
      </c>
      <c r="C235" s="234" t="s">
        <v>5</v>
      </c>
      <c r="D235" s="235">
        <f>D236</f>
        <v>315000</v>
      </c>
      <c r="E235" s="235">
        <f>E236</f>
        <v>308000</v>
      </c>
      <c r="F235" s="235">
        <f>F236+F239</f>
        <v>1212000</v>
      </c>
      <c r="G235" s="235"/>
      <c r="H235" s="264">
        <f t="shared" si="14"/>
        <v>3.935064935064935</v>
      </c>
      <c r="I235" s="237"/>
      <c r="J235" s="402"/>
      <c r="K235" s="180"/>
      <c r="L235" s="180"/>
      <c r="M235" s="180"/>
      <c r="N235" s="180"/>
      <c r="O235" s="180"/>
      <c r="P235" s="180"/>
    </row>
    <row r="236" spans="1:16" s="211" customFormat="1" ht="31.5" customHeight="1">
      <c r="A236" s="191"/>
      <c r="B236" s="182"/>
      <c r="C236" s="192" t="s">
        <v>229</v>
      </c>
      <c r="D236" s="193">
        <v>315000</v>
      </c>
      <c r="E236" s="193">
        <v>308000</v>
      </c>
      <c r="F236" s="193">
        <v>312000</v>
      </c>
      <c r="G236" s="193" t="s">
        <v>189</v>
      </c>
      <c r="H236" s="194">
        <f t="shared" si="14"/>
        <v>1.0129870129870129</v>
      </c>
      <c r="I236" s="237"/>
      <c r="J236" s="402"/>
      <c r="K236" s="180"/>
      <c r="L236" s="180"/>
      <c r="M236" s="180"/>
      <c r="N236" s="180"/>
      <c r="O236" s="180"/>
      <c r="P236" s="180"/>
    </row>
    <row r="237" spans="1:16" s="211" customFormat="1" ht="18.75" customHeight="1">
      <c r="A237" s="191"/>
      <c r="B237" s="182"/>
      <c r="C237" s="360" t="s">
        <v>13</v>
      </c>
      <c r="D237" s="409">
        <v>185404</v>
      </c>
      <c r="E237" s="409">
        <v>185404</v>
      </c>
      <c r="F237" s="409">
        <v>186160</v>
      </c>
      <c r="G237" s="409"/>
      <c r="H237" s="410">
        <f>F237/E237</f>
        <v>1.0040775819291925</v>
      </c>
      <c r="I237" s="237"/>
      <c r="J237" s="402" t="s">
        <v>230</v>
      </c>
      <c r="K237" s="180"/>
      <c r="L237" s="180"/>
      <c r="M237" s="180"/>
      <c r="N237" s="180"/>
      <c r="O237" s="180"/>
      <c r="P237" s="180"/>
    </row>
    <row r="238" spans="1:16" s="211" customFormat="1" ht="18.75" customHeight="1">
      <c r="A238" s="191"/>
      <c r="B238" s="182"/>
      <c r="C238" s="360" t="s">
        <v>231</v>
      </c>
      <c r="D238" s="409">
        <v>185404</v>
      </c>
      <c r="E238" s="409"/>
      <c r="F238" s="409">
        <v>900000</v>
      </c>
      <c r="G238" s="409"/>
      <c r="H238" s="410"/>
      <c r="I238" s="237"/>
      <c r="J238" s="402"/>
      <c r="K238" s="180"/>
      <c r="L238" s="180"/>
      <c r="M238" s="180"/>
      <c r="N238" s="180"/>
      <c r="O238" s="180"/>
      <c r="P238" s="180"/>
    </row>
    <row r="239" spans="1:16" s="211" customFormat="1" ht="14.25" customHeight="1">
      <c r="A239" s="411"/>
      <c r="B239" s="412"/>
      <c r="C239" s="360" t="s">
        <v>264</v>
      </c>
      <c r="D239" s="409">
        <v>185404</v>
      </c>
      <c r="E239" s="409"/>
      <c r="F239" s="409">
        <v>900000</v>
      </c>
      <c r="G239" s="409"/>
      <c r="H239" s="410"/>
      <c r="I239" s="237"/>
      <c r="J239" s="402" t="s">
        <v>230</v>
      </c>
      <c r="K239" s="508">
        <f>F239</f>
        <v>900000</v>
      </c>
      <c r="L239" s="180"/>
      <c r="M239" s="180"/>
      <c r="N239" s="180"/>
      <c r="O239" s="180"/>
      <c r="P239" s="180"/>
    </row>
    <row r="240" spans="1:16" s="181" customFormat="1" ht="39" customHeight="1">
      <c r="A240" s="413">
        <v>921</v>
      </c>
      <c r="B240" s="414" t="s">
        <v>193</v>
      </c>
      <c r="C240" s="175" t="s">
        <v>91</v>
      </c>
      <c r="D240" s="176">
        <f>D241+D248+D255+D262</f>
        <v>5063000</v>
      </c>
      <c r="E240" s="176">
        <f>E241+E248+E255+E262</f>
        <v>5313298</v>
      </c>
      <c r="F240" s="176">
        <f>F241+F248+F255+F262</f>
        <v>5865150</v>
      </c>
      <c r="G240" s="176"/>
      <c r="H240" s="177">
        <f>F240/E240</f>
        <v>1.1038624221716908</v>
      </c>
      <c r="I240" s="220"/>
      <c r="J240" s="402"/>
      <c r="K240" s="180"/>
      <c r="L240" s="180"/>
      <c r="M240" s="180"/>
      <c r="N240" s="180"/>
      <c r="O240" s="180"/>
      <c r="P240" s="180"/>
    </row>
    <row r="241" spans="1:16" s="211" customFormat="1" ht="34.5" customHeight="1">
      <c r="A241" s="213"/>
      <c r="B241" s="233">
        <v>92109</v>
      </c>
      <c r="C241" s="234" t="s">
        <v>232</v>
      </c>
      <c r="D241" s="235">
        <f>D242+D245</f>
        <v>2510500</v>
      </c>
      <c r="E241" s="235">
        <f>E242+E245</f>
        <v>2652798</v>
      </c>
      <c r="F241" s="235">
        <f>F242+F245</f>
        <v>2745600</v>
      </c>
      <c r="G241" s="235"/>
      <c r="H241" s="236">
        <f>F241/E241</f>
        <v>1.0349826862052822</v>
      </c>
      <c r="I241" s="237"/>
      <c r="J241" s="402"/>
      <c r="K241" s="180"/>
      <c r="L241" s="180"/>
      <c r="M241" s="180"/>
      <c r="N241" s="180"/>
      <c r="O241" s="180"/>
      <c r="P241" s="180"/>
    </row>
    <row r="242" spans="1:16" s="211" customFormat="1" ht="18.75" customHeight="1">
      <c r="A242" s="191"/>
      <c r="B242" s="191"/>
      <c r="C242" s="192" t="s">
        <v>6</v>
      </c>
      <c r="D242" s="193">
        <v>2310500</v>
      </c>
      <c r="E242" s="193">
        <v>2432798</v>
      </c>
      <c r="F242" s="193">
        <v>2545600</v>
      </c>
      <c r="G242" s="193"/>
      <c r="H242" s="194">
        <f>F242/E242</f>
        <v>1.046367187082528</v>
      </c>
      <c r="I242" s="237"/>
      <c r="J242" s="402"/>
      <c r="K242" s="180"/>
      <c r="L242" s="180"/>
      <c r="M242" s="180"/>
      <c r="N242" s="180"/>
      <c r="O242" s="180"/>
      <c r="P242" s="180"/>
    </row>
    <row r="243" spans="1:16" s="211" customFormat="1" ht="15">
      <c r="A243" s="191"/>
      <c r="B243" s="191"/>
      <c r="C243" s="192" t="s">
        <v>233</v>
      </c>
      <c r="D243" s="193"/>
      <c r="E243" s="193"/>
      <c r="F243" s="193"/>
      <c r="G243" s="193"/>
      <c r="H243" s="194"/>
      <c r="I243" s="237"/>
      <c r="J243" s="402"/>
      <c r="K243" s="180"/>
      <c r="L243" s="180"/>
      <c r="M243" s="180"/>
      <c r="N243" s="180"/>
      <c r="O243" s="180"/>
      <c r="P243" s="180"/>
    </row>
    <row r="244" spans="1:16" s="211" customFormat="1" ht="15">
      <c r="A244" s="191"/>
      <c r="B244" s="191"/>
      <c r="C244" s="201" t="s">
        <v>13</v>
      </c>
      <c r="D244" s="312">
        <v>2310500</v>
      </c>
      <c r="E244" s="312">
        <v>2432798</v>
      </c>
      <c r="F244" s="312">
        <v>2545600</v>
      </c>
      <c r="G244" s="312"/>
      <c r="H244" s="194">
        <f>F244/E244</f>
        <v>1.046367187082528</v>
      </c>
      <c r="I244" s="237"/>
      <c r="J244" s="402"/>
      <c r="K244" s="180"/>
      <c r="L244" s="180"/>
      <c r="M244" s="180"/>
      <c r="N244" s="180"/>
      <c r="O244" s="180"/>
      <c r="P244" s="180"/>
    </row>
    <row r="245" spans="1:16" s="211" customFormat="1" ht="15">
      <c r="A245" s="191"/>
      <c r="B245" s="191"/>
      <c r="C245" s="201" t="s">
        <v>9</v>
      </c>
      <c r="D245" s="312">
        <v>200000</v>
      </c>
      <c r="E245" s="312">
        <v>220000</v>
      </c>
      <c r="F245" s="312">
        <v>200000</v>
      </c>
      <c r="G245" s="312"/>
      <c r="H245" s="194">
        <f>F245/E245</f>
        <v>0.9090909090909091</v>
      </c>
      <c r="I245" s="237"/>
      <c r="J245" s="402"/>
      <c r="K245" s="508">
        <f>F245</f>
        <v>200000</v>
      </c>
      <c r="L245" s="180"/>
      <c r="M245" s="180"/>
      <c r="N245" s="180"/>
      <c r="O245" s="180"/>
      <c r="P245" s="180"/>
    </row>
    <row r="246" spans="1:16" s="211" customFormat="1" ht="15">
      <c r="A246" s="191"/>
      <c r="B246" s="191"/>
      <c r="C246" s="201" t="s">
        <v>10</v>
      </c>
      <c r="D246" s="312"/>
      <c r="E246" s="312"/>
      <c r="F246" s="312"/>
      <c r="G246" s="312"/>
      <c r="H246" s="194"/>
      <c r="I246" s="237"/>
      <c r="J246" s="402"/>
      <c r="K246" s="180"/>
      <c r="L246" s="180"/>
      <c r="M246" s="180"/>
      <c r="N246" s="180"/>
      <c r="O246" s="180"/>
      <c r="P246" s="180"/>
    </row>
    <row r="247" spans="1:16" s="211" customFormat="1" ht="15">
      <c r="A247" s="191"/>
      <c r="B247" s="191"/>
      <c r="C247" s="201" t="s">
        <v>13</v>
      </c>
      <c r="D247" s="312">
        <v>200000</v>
      </c>
      <c r="E247" s="312">
        <v>220000</v>
      </c>
      <c r="F247" s="312">
        <v>200000</v>
      </c>
      <c r="G247" s="312"/>
      <c r="H247" s="194">
        <f>F247/E247</f>
        <v>0.9090909090909091</v>
      </c>
      <c r="I247" s="237"/>
      <c r="J247" s="402"/>
      <c r="K247" s="180"/>
      <c r="L247" s="180"/>
      <c r="M247" s="180"/>
      <c r="N247" s="180"/>
      <c r="O247" s="180"/>
      <c r="P247" s="180"/>
    </row>
    <row r="248" spans="1:16" s="211" customFormat="1" ht="21.75" customHeight="1">
      <c r="A248" s="182"/>
      <c r="B248" s="233">
        <v>92116</v>
      </c>
      <c r="C248" s="234" t="s">
        <v>21</v>
      </c>
      <c r="D248" s="235">
        <f>D249+D252</f>
        <v>1545500</v>
      </c>
      <c r="E248" s="235">
        <f>E249+E252</f>
        <v>1557500</v>
      </c>
      <c r="F248" s="235">
        <f>F249+F252</f>
        <v>1786550</v>
      </c>
      <c r="G248" s="235"/>
      <c r="H248" s="236">
        <f>F248/E248</f>
        <v>1.1470626003210274</v>
      </c>
      <c r="I248" s="237"/>
      <c r="J248" s="402"/>
      <c r="K248" s="180"/>
      <c r="L248" s="180"/>
      <c r="M248" s="180"/>
      <c r="N248" s="180"/>
      <c r="O248" s="180"/>
      <c r="P248" s="180"/>
    </row>
    <row r="249" spans="1:16" s="211" customFormat="1" ht="15">
      <c r="A249" s="191"/>
      <c r="B249" s="191"/>
      <c r="C249" s="192" t="s">
        <v>6</v>
      </c>
      <c r="D249" s="193">
        <v>1499500</v>
      </c>
      <c r="E249" s="193">
        <v>1511500</v>
      </c>
      <c r="F249" s="193">
        <v>1737050</v>
      </c>
      <c r="G249" s="193"/>
      <c r="H249" s="194">
        <f>F249/E249</f>
        <v>1.1492226265299372</v>
      </c>
      <c r="I249" s="237"/>
      <c r="J249" s="402"/>
      <c r="K249" s="180"/>
      <c r="L249" s="180"/>
      <c r="M249" s="180"/>
      <c r="N249" s="180"/>
      <c r="O249" s="180"/>
      <c r="P249" s="180"/>
    </row>
    <row r="250" spans="1:16" s="211" customFormat="1" ht="15">
      <c r="A250" s="191"/>
      <c r="B250" s="191"/>
      <c r="C250" s="192" t="s">
        <v>233</v>
      </c>
      <c r="D250" s="193"/>
      <c r="E250" s="193"/>
      <c r="F250" s="193"/>
      <c r="G250" s="193"/>
      <c r="H250" s="194"/>
      <c r="I250" s="237"/>
      <c r="J250" s="402"/>
      <c r="K250" s="180"/>
      <c r="L250" s="180"/>
      <c r="M250" s="180"/>
      <c r="N250" s="180"/>
      <c r="O250" s="180"/>
      <c r="P250" s="180"/>
    </row>
    <row r="251" spans="1:16" s="211" customFormat="1" ht="15">
      <c r="A251" s="191"/>
      <c r="B251" s="191"/>
      <c r="C251" s="201" t="s">
        <v>13</v>
      </c>
      <c r="D251" s="312">
        <v>1499500</v>
      </c>
      <c r="E251" s="312">
        <v>1511500</v>
      </c>
      <c r="F251" s="312">
        <v>1737050</v>
      </c>
      <c r="G251" s="312"/>
      <c r="H251" s="194">
        <f>F251/E251</f>
        <v>1.1492226265299372</v>
      </c>
      <c r="I251" s="237"/>
      <c r="J251" s="402"/>
      <c r="K251" s="180"/>
      <c r="L251" s="180"/>
      <c r="M251" s="180"/>
      <c r="N251" s="180"/>
      <c r="O251" s="180"/>
      <c r="P251" s="180"/>
    </row>
    <row r="252" spans="1:16" s="211" customFormat="1" ht="15">
      <c r="A252" s="191"/>
      <c r="B252" s="191"/>
      <c r="C252" s="201" t="s">
        <v>9</v>
      </c>
      <c r="D252" s="312">
        <v>46000</v>
      </c>
      <c r="E252" s="312">
        <v>46000</v>
      </c>
      <c r="F252" s="312">
        <v>49500</v>
      </c>
      <c r="G252" s="312"/>
      <c r="H252" s="194">
        <f>F252/E252</f>
        <v>1.076086956521739</v>
      </c>
      <c r="I252" s="237"/>
      <c r="J252" s="402"/>
      <c r="K252" s="508">
        <f>F252</f>
        <v>49500</v>
      </c>
      <c r="L252" s="180"/>
      <c r="M252" s="180"/>
      <c r="N252" s="180"/>
      <c r="O252" s="180"/>
      <c r="P252" s="180"/>
    </row>
    <row r="253" spans="1:16" s="211" customFormat="1" ht="15">
      <c r="A253" s="191"/>
      <c r="B253" s="191"/>
      <c r="C253" s="201" t="s">
        <v>10</v>
      </c>
      <c r="D253" s="312"/>
      <c r="E253" s="312"/>
      <c r="F253" s="312"/>
      <c r="G253" s="312"/>
      <c r="H253" s="194"/>
      <c r="I253" s="237"/>
      <c r="J253" s="402"/>
      <c r="K253" s="180"/>
      <c r="L253" s="180"/>
      <c r="M253" s="180"/>
      <c r="N253" s="180"/>
      <c r="O253" s="180"/>
      <c r="P253" s="180"/>
    </row>
    <row r="254" spans="1:16" s="211" customFormat="1" ht="15">
      <c r="A254" s="191"/>
      <c r="B254" s="191"/>
      <c r="C254" s="201" t="s">
        <v>13</v>
      </c>
      <c r="D254" s="312">
        <v>46000</v>
      </c>
      <c r="E254" s="312">
        <v>46000</v>
      </c>
      <c r="F254" s="312"/>
      <c r="G254" s="312"/>
      <c r="H254" s="194">
        <f>F254/E254</f>
        <v>0</v>
      </c>
      <c r="I254" s="237"/>
      <c r="J254" s="402"/>
      <c r="K254" s="180"/>
      <c r="L254" s="180"/>
      <c r="M254" s="180"/>
      <c r="N254" s="180"/>
      <c r="O254" s="180"/>
      <c r="P254" s="180"/>
    </row>
    <row r="255" spans="1:16" s="211" customFormat="1" ht="19.5" customHeight="1">
      <c r="A255" s="182"/>
      <c r="B255" s="233">
        <v>92118</v>
      </c>
      <c r="C255" s="234" t="s">
        <v>20</v>
      </c>
      <c r="D255" s="235">
        <f>SUM(D256+D259)</f>
        <v>993000</v>
      </c>
      <c r="E255" s="235">
        <f>SUM(E256+E259)</f>
        <v>1069000</v>
      </c>
      <c r="F255" s="235">
        <f>F256+F259</f>
        <v>1150000</v>
      </c>
      <c r="G255" s="235"/>
      <c r="H255" s="236">
        <f>F255/E255</f>
        <v>1.0757717492984098</v>
      </c>
      <c r="I255" s="237"/>
      <c r="J255" s="402"/>
      <c r="K255" s="180"/>
      <c r="L255" s="180"/>
      <c r="M255" s="180"/>
      <c r="N255" s="180"/>
      <c r="O255" s="180"/>
      <c r="P255" s="180"/>
    </row>
    <row r="256" spans="1:16" s="211" customFormat="1" ht="16.5" customHeight="1">
      <c r="A256" s="191"/>
      <c r="B256" s="191"/>
      <c r="C256" s="192" t="s">
        <v>6</v>
      </c>
      <c r="D256" s="193">
        <v>963000</v>
      </c>
      <c r="E256" s="193">
        <v>1014000</v>
      </c>
      <c r="F256" s="193">
        <v>1100000</v>
      </c>
      <c r="G256" s="193"/>
      <c r="H256" s="194">
        <f>F256/E256</f>
        <v>1.0848126232741617</v>
      </c>
      <c r="I256" s="237"/>
      <c r="J256" s="402"/>
      <c r="K256" s="180"/>
      <c r="L256" s="180"/>
      <c r="M256" s="180"/>
      <c r="N256" s="180"/>
      <c r="O256" s="180"/>
      <c r="P256" s="180"/>
    </row>
    <row r="257" spans="1:16" s="211" customFormat="1" ht="15">
      <c r="A257" s="191"/>
      <c r="B257" s="191"/>
      <c r="C257" s="192" t="s">
        <v>233</v>
      </c>
      <c r="D257" s="193"/>
      <c r="E257" s="193"/>
      <c r="F257" s="193"/>
      <c r="G257" s="193"/>
      <c r="H257" s="194"/>
      <c r="I257" s="237"/>
      <c r="J257" s="402"/>
      <c r="K257" s="180"/>
      <c r="L257" s="180"/>
      <c r="M257" s="180"/>
      <c r="N257" s="180"/>
      <c r="O257" s="180"/>
      <c r="P257" s="180"/>
    </row>
    <row r="258" spans="1:16" s="211" customFormat="1" ht="15">
      <c r="A258" s="191"/>
      <c r="B258" s="191"/>
      <c r="C258" s="201" t="s">
        <v>13</v>
      </c>
      <c r="D258" s="312">
        <v>963000</v>
      </c>
      <c r="E258" s="312">
        <v>1014000</v>
      </c>
      <c r="F258" s="312">
        <v>1100000</v>
      </c>
      <c r="G258" s="312"/>
      <c r="H258" s="194">
        <f>F258/E258</f>
        <v>1.0848126232741617</v>
      </c>
      <c r="I258" s="237"/>
      <c r="J258" s="402"/>
      <c r="K258" s="180"/>
      <c r="L258" s="180"/>
      <c r="M258" s="180"/>
      <c r="N258" s="180"/>
      <c r="O258" s="180"/>
      <c r="P258" s="180"/>
    </row>
    <row r="259" spans="1:16" s="211" customFormat="1" ht="15">
      <c r="A259" s="191"/>
      <c r="B259" s="191"/>
      <c r="C259" s="201" t="s">
        <v>9</v>
      </c>
      <c r="D259" s="312">
        <v>30000</v>
      </c>
      <c r="E259" s="312">
        <v>55000</v>
      </c>
      <c r="F259" s="312">
        <v>50000</v>
      </c>
      <c r="G259" s="312"/>
      <c r="H259" s="194">
        <f>F259/E259</f>
        <v>0.9090909090909091</v>
      </c>
      <c r="I259" s="237"/>
      <c r="J259" s="402"/>
      <c r="K259" s="508">
        <f>F259</f>
        <v>50000</v>
      </c>
      <c r="L259" s="180"/>
      <c r="M259" s="180"/>
      <c r="N259" s="180"/>
      <c r="O259" s="180"/>
      <c r="P259" s="180"/>
    </row>
    <row r="260" spans="1:16" s="211" customFormat="1" ht="15">
      <c r="A260" s="191"/>
      <c r="B260" s="191"/>
      <c r="C260" s="201" t="s">
        <v>10</v>
      </c>
      <c r="D260" s="312"/>
      <c r="E260" s="312"/>
      <c r="F260" s="312"/>
      <c r="G260" s="312"/>
      <c r="H260" s="194"/>
      <c r="I260" s="237"/>
      <c r="J260" s="402"/>
      <c r="K260" s="180"/>
      <c r="L260" s="180"/>
      <c r="M260" s="180"/>
      <c r="N260" s="180"/>
      <c r="O260" s="180"/>
      <c r="P260" s="180"/>
    </row>
    <row r="261" spans="1:16" s="211" customFormat="1" ht="15">
      <c r="A261" s="191"/>
      <c r="B261" s="191"/>
      <c r="C261" s="201" t="s">
        <v>13</v>
      </c>
      <c r="D261" s="312">
        <v>30000</v>
      </c>
      <c r="E261" s="312">
        <v>55000</v>
      </c>
      <c r="F261" s="312">
        <v>50000</v>
      </c>
      <c r="G261" s="312"/>
      <c r="H261" s="194">
        <f>F261/E261</f>
        <v>0.9090909090909091</v>
      </c>
      <c r="I261" s="237"/>
      <c r="J261" s="402"/>
      <c r="K261" s="180"/>
      <c r="L261" s="180"/>
      <c r="M261" s="180"/>
      <c r="N261" s="180"/>
      <c r="O261" s="180"/>
      <c r="P261" s="180"/>
    </row>
    <row r="262" spans="1:16" s="211" customFormat="1" ht="21.75" customHeight="1">
      <c r="A262" s="182"/>
      <c r="B262" s="233">
        <v>92195</v>
      </c>
      <c r="C262" s="234" t="s">
        <v>5</v>
      </c>
      <c r="D262" s="235">
        <f>D263</f>
        <v>14000</v>
      </c>
      <c r="E262" s="235">
        <f>E263</f>
        <v>34000</v>
      </c>
      <c r="F262" s="235">
        <f>F263</f>
        <v>183000</v>
      </c>
      <c r="G262" s="235"/>
      <c r="H262" s="236">
        <f>F262/E262</f>
        <v>5.382352941176471</v>
      </c>
      <c r="I262" s="237"/>
      <c r="J262" s="402"/>
      <c r="K262" s="180"/>
      <c r="L262" s="180"/>
      <c r="M262" s="180"/>
      <c r="N262" s="180"/>
      <c r="O262" s="180"/>
      <c r="P262" s="180"/>
    </row>
    <row r="263" spans="1:16" s="211" customFormat="1" ht="20.25" customHeight="1">
      <c r="A263" s="191"/>
      <c r="B263" s="191"/>
      <c r="C263" s="192" t="s">
        <v>6</v>
      </c>
      <c r="D263" s="193">
        <v>14000</v>
      </c>
      <c r="E263" s="193">
        <v>34000</v>
      </c>
      <c r="F263" s="193">
        <v>183000</v>
      </c>
      <c r="G263" s="193" t="s">
        <v>189</v>
      </c>
      <c r="H263" s="194">
        <f>F263/E263</f>
        <v>5.382352941176471</v>
      </c>
      <c r="I263" s="237"/>
      <c r="J263" s="402" t="s">
        <v>268</v>
      </c>
      <c r="K263" s="180"/>
      <c r="L263" s="180"/>
      <c r="M263" s="180"/>
      <c r="N263" s="180"/>
      <c r="O263" s="180"/>
      <c r="P263" s="180"/>
    </row>
    <row r="264" spans="1:16" s="211" customFormat="1" ht="20.25" customHeight="1">
      <c r="A264" s="191"/>
      <c r="B264" s="191"/>
      <c r="C264" s="192" t="s">
        <v>233</v>
      </c>
      <c r="D264" s="193"/>
      <c r="E264" s="193"/>
      <c r="F264" s="193"/>
      <c r="G264" s="193"/>
      <c r="H264" s="194"/>
      <c r="I264" s="237"/>
      <c r="J264" s="402"/>
      <c r="K264" s="180"/>
      <c r="L264" s="180"/>
      <c r="M264" s="180"/>
      <c r="N264" s="180"/>
      <c r="O264" s="180"/>
      <c r="P264" s="180"/>
    </row>
    <row r="265" spans="1:16" s="211" customFormat="1" ht="15.75" customHeight="1" thickBot="1">
      <c r="A265" s="191"/>
      <c r="B265" s="191"/>
      <c r="C265" s="201" t="s">
        <v>13</v>
      </c>
      <c r="D265" s="193">
        <v>5000</v>
      </c>
      <c r="E265" s="193">
        <v>14000</v>
      </c>
      <c r="F265" s="193">
        <v>14000</v>
      </c>
      <c r="G265" s="193"/>
      <c r="H265" s="194">
        <f>F265/E265</f>
        <v>1</v>
      </c>
      <c r="I265" s="237"/>
      <c r="J265" s="402"/>
      <c r="K265" s="180"/>
      <c r="L265" s="180"/>
      <c r="M265" s="180"/>
      <c r="N265" s="180"/>
      <c r="O265" s="180"/>
      <c r="P265" s="180"/>
    </row>
    <row r="266" spans="1:16" s="181" customFormat="1" ht="22.5" customHeight="1">
      <c r="A266" s="212">
        <v>926</v>
      </c>
      <c r="B266" s="254"/>
      <c r="C266" s="205" t="s">
        <v>98</v>
      </c>
      <c r="D266" s="206">
        <f>D267+D272</f>
        <v>2035000</v>
      </c>
      <c r="E266" s="206">
        <f>SUM(E267+E272)</f>
        <v>1872000</v>
      </c>
      <c r="F266" s="206">
        <f>F267+F272</f>
        <v>1328000</v>
      </c>
      <c r="G266" s="206">
        <f>G267+G272</f>
        <v>1522800</v>
      </c>
      <c r="H266" s="207">
        <f>F266/E266</f>
        <v>0.7094017094017094</v>
      </c>
      <c r="I266" s="220"/>
      <c r="J266" s="402"/>
      <c r="K266" s="180"/>
      <c r="L266" s="180"/>
      <c r="M266" s="180"/>
      <c r="N266" s="180"/>
      <c r="O266" s="180"/>
      <c r="P266" s="180"/>
    </row>
    <row r="267" spans="1:16" s="37" customFormat="1" ht="19.5" customHeight="1">
      <c r="A267" s="213"/>
      <c r="B267" s="182">
        <v>92601</v>
      </c>
      <c r="C267" s="184" t="s">
        <v>112</v>
      </c>
      <c r="D267" s="185">
        <f>D271+D268</f>
        <v>1585000</v>
      </c>
      <c r="E267" s="185">
        <f>E271+E268</f>
        <v>1385000</v>
      </c>
      <c r="F267" s="185">
        <f>F271+F268</f>
        <v>871000</v>
      </c>
      <c r="G267" s="185">
        <f>G271+G268</f>
        <v>1522800</v>
      </c>
      <c r="H267" s="208">
        <f>F267/E267</f>
        <v>0.6288808664259928</v>
      </c>
      <c r="I267" s="221"/>
      <c r="J267" s="506"/>
      <c r="K267" s="190"/>
      <c r="L267" s="190"/>
      <c r="M267" s="190"/>
      <c r="N267" s="190"/>
      <c r="O267" s="190"/>
      <c r="P267" s="190"/>
    </row>
    <row r="268" spans="1:16" s="37" customFormat="1" ht="19.5" customHeight="1">
      <c r="A268" s="182"/>
      <c r="B268" s="182"/>
      <c r="C268" s="192" t="s">
        <v>6</v>
      </c>
      <c r="D268" s="193">
        <v>885000</v>
      </c>
      <c r="E268" s="193">
        <v>885000</v>
      </c>
      <c r="F268" s="193">
        <v>845000</v>
      </c>
      <c r="G268" s="193"/>
      <c r="H268" s="194">
        <f>F268/E268</f>
        <v>0.9548022598870056</v>
      </c>
      <c r="I268" s="221"/>
      <c r="J268" s="506"/>
      <c r="K268" s="190"/>
      <c r="L268" s="190"/>
      <c r="M268" s="190"/>
      <c r="N268" s="190"/>
      <c r="O268" s="190"/>
      <c r="P268" s="190"/>
    </row>
    <row r="269" spans="1:16" s="37" customFormat="1" ht="15.75">
      <c r="A269" s="182"/>
      <c r="B269" s="182"/>
      <c r="C269" s="192" t="s">
        <v>233</v>
      </c>
      <c r="D269" s="185"/>
      <c r="E269" s="185"/>
      <c r="F269" s="185"/>
      <c r="G269" s="185"/>
      <c r="H269" s="186"/>
      <c r="I269" s="221"/>
      <c r="J269" s="506"/>
      <c r="K269" s="190"/>
      <c r="L269" s="190"/>
      <c r="M269" s="190"/>
      <c r="N269" s="190"/>
      <c r="O269" s="190"/>
      <c r="P269" s="190"/>
    </row>
    <row r="270" spans="1:16" s="37" customFormat="1" ht="15.75">
      <c r="A270" s="182"/>
      <c r="B270" s="182"/>
      <c r="C270" s="201" t="s">
        <v>13</v>
      </c>
      <c r="D270" s="312">
        <v>885000</v>
      </c>
      <c r="E270" s="312">
        <v>885000</v>
      </c>
      <c r="F270" s="312">
        <v>845000</v>
      </c>
      <c r="G270" s="312"/>
      <c r="H270" s="194">
        <f>F270/E270</f>
        <v>0.9548022598870056</v>
      </c>
      <c r="I270" s="221"/>
      <c r="J270" s="506"/>
      <c r="K270" s="190"/>
      <c r="L270" s="190"/>
      <c r="M270" s="190"/>
      <c r="N270" s="190"/>
      <c r="O270" s="190"/>
      <c r="P270" s="190"/>
    </row>
    <row r="271" spans="1:16" s="37" customFormat="1" ht="17.25" customHeight="1">
      <c r="A271" s="191"/>
      <c r="B271" s="191"/>
      <c r="C271" s="192" t="s">
        <v>9</v>
      </c>
      <c r="D271" s="193">
        <v>700000</v>
      </c>
      <c r="E271" s="193">
        <v>500000</v>
      </c>
      <c r="F271" s="193">
        <v>26000</v>
      </c>
      <c r="G271" s="193">
        <v>1522800</v>
      </c>
      <c r="H271" s="194">
        <f>F271/E271</f>
        <v>0.052</v>
      </c>
      <c r="I271" s="221"/>
      <c r="J271" s="515" t="s">
        <v>257</v>
      </c>
      <c r="K271" s="507">
        <f>F271</f>
        <v>26000</v>
      </c>
      <c r="L271" s="190"/>
      <c r="M271" s="190"/>
      <c r="N271" s="190"/>
      <c r="O271" s="190"/>
      <c r="P271" s="190"/>
    </row>
    <row r="272" spans="1:16" s="37" customFormat="1" ht="35.25" customHeight="1">
      <c r="A272" s="213"/>
      <c r="B272" s="233">
        <v>92605</v>
      </c>
      <c r="C272" s="234" t="s">
        <v>100</v>
      </c>
      <c r="D272" s="235">
        <f>D273</f>
        <v>450000</v>
      </c>
      <c r="E272" s="235">
        <f>E273+E276</f>
        <v>487000</v>
      </c>
      <c r="F272" s="235">
        <f>F273+F276</f>
        <v>457000</v>
      </c>
      <c r="G272" s="235"/>
      <c r="H272" s="236">
        <f>F272/E272</f>
        <v>0.9383983572895277</v>
      </c>
      <c r="I272" s="221"/>
      <c r="J272" s="506"/>
      <c r="K272" s="190"/>
      <c r="L272" s="190"/>
      <c r="M272" s="190"/>
      <c r="N272" s="190"/>
      <c r="O272" s="190"/>
      <c r="P272" s="190"/>
    </row>
    <row r="273" spans="1:16" s="37" customFormat="1" ht="16.5" customHeight="1">
      <c r="A273" s="182"/>
      <c r="B273" s="182"/>
      <c r="C273" s="192" t="s">
        <v>6</v>
      </c>
      <c r="D273" s="193">
        <v>450000</v>
      </c>
      <c r="E273" s="193">
        <v>457000</v>
      </c>
      <c r="F273" s="193">
        <v>457000</v>
      </c>
      <c r="G273" s="193"/>
      <c r="H273" s="194">
        <f>F273/E273</f>
        <v>1</v>
      </c>
      <c r="I273" s="221"/>
      <c r="J273" s="506"/>
      <c r="K273" s="190"/>
      <c r="L273" s="190"/>
      <c r="M273" s="190"/>
      <c r="N273" s="190"/>
      <c r="O273" s="190"/>
      <c r="P273" s="190"/>
    </row>
    <row r="274" spans="1:16" s="37" customFormat="1" ht="19.5" customHeight="1">
      <c r="A274" s="182"/>
      <c r="B274" s="182"/>
      <c r="C274" s="192" t="s">
        <v>233</v>
      </c>
      <c r="D274" s="185"/>
      <c r="E274" s="185"/>
      <c r="F274" s="185"/>
      <c r="G274" s="185"/>
      <c r="H274" s="186"/>
      <c r="I274" s="221"/>
      <c r="J274" s="506"/>
      <c r="K274" s="190"/>
      <c r="L274" s="190"/>
      <c r="M274" s="190"/>
      <c r="N274" s="190"/>
      <c r="O274" s="190"/>
      <c r="P274" s="190"/>
    </row>
    <row r="275" spans="1:16" s="211" customFormat="1" ht="18.75" customHeight="1">
      <c r="A275" s="182"/>
      <c r="B275" s="182"/>
      <c r="C275" s="201" t="s">
        <v>13</v>
      </c>
      <c r="D275" s="312">
        <v>435000</v>
      </c>
      <c r="E275" s="312">
        <v>411000</v>
      </c>
      <c r="F275" s="312">
        <v>427000</v>
      </c>
      <c r="G275" s="312"/>
      <c r="H275" s="194">
        <f>F275/E275</f>
        <v>1.0389294403892944</v>
      </c>
      <c r="I275" s="237"/>
      <c r="J275" s="402"/>
      <c r="K275" s="180"/>
      <c r="L275" s="180"/>
      <c r="M275" s="180"/>
      <c r="N275" s="180"/>
      <c r="O275" s="180"/>
      <c r="P275" s="180"/>
    </row>
    <row r="276" spans="1:16" s="211" customFormat="1" ht="21.75" customHeight="1" thickBot="1">
      <c r="A276" s="415"/>
      <c r="B276" s="416"/>
      <c r="C276" s="417" t="s">
        <v>9</v>
      </c>
      <c r="D276" s="418">
        <v>0</v>
      </c>
      <c r="E276" s="418">
        <v>30000</v>
      </c>
      <c r="F276" s="418">
        <v>0</v>
      </c>
      <c r="G276" s="312"/>
      <c r="H276" s="419"/>
      <c r="I276" s="237"/>
      <c r="J276" s="402"/>
      <c r="K276" s="508">
        <f>F276</f>
        <v>0</v>
      </c>
      <c r="L276" s="180"/>
      <c r="M276" s="180"/>
      <c r="N276" s="180"/>
      <c r="O276" s="180"/>
      <c r="P276" s="180"/>
    </row>
    <row r="277" spans="1:16" s="181" customFormat="1" ht="30" customHeight="1" thickBot="1" thickTop="1">
      <c r="A277" s="538" t="s">
        <v>234</v>
      </c>
      <c r="B277" s="538"/>
      <c r="C277" s="538"/>
      <c r="D277" s="420">
        <f>D7+D12+D15+D18+D38+D43+D59+D62+D76+D101+D106+D115+D118+D153+D171+D195+D206+D216+D240+D266</f>
        <v>72051135</v>
      </c>
      <c r="E277" s="420">
        <f>E7+E12+E15+E18+E38+E43+E59+E62+E76+E101+E106+E115+E118+E153+E171+E195+E206+E216+E240+E266</f>
        <v>75106231</v>
      </c>
      <c r="F277" s="420">
        <f>F7+F12+F15+F18+F38+F43+F59+F62+F76+F101+F106+F115+F118+F153+F171+F195+F206+F216+F240+F266</f>
        <v>70824680</v>
      </c>
      <c r="G277" s="420" t="e">
        <f>G7+G12+G15+G18+G43+G59+G62+G76+G106+G115+G118+G153+G171+G206+G216+G240+G266</f>
        <v>#REF!</v>
      </c>
      <c r="H277" s="516">
        <f>F277/E277</f>
        <v>0.9429933982441483</v>
      </c>
      <c r="I277" s="220"/>
      <c r="J277" s="402"/>
      <c r="K277" s="180"/>
      <c r="L277" s="180"/>
      <c r="M277" s="180"/>
      <c r="N277" s="180"/>
      <c r="O277" s="180"/>
      <c r="P277" s="180"/>
    </row>
    <row r="278" spans="1:16" ht="15.75" thickTop="1">
      <c r="A278" s="421"/>
      <c r="B278" s="421"/>
      <c r="C278" s="422"/>
      <c r="D278" s="423"/>
      <c r="E278" s="423"/>
      <c r="F278" s="423"/>
      <c r="G278" s="423"/>
      <c r="H278" s="424"/>
      <c r="I278" s="154"/>
      <c r="J278" s="402"/>
      <c r="K278" s="155"/>
      <c r="L278" s="155"/>
      <c r="M278" s="155"/>
      <c r="N278" s="155"/>
      <c r="O278" s="155"/>
      <c r="P278" s="155"/>
    </row>
    <row r="279" spans="1:16" ht="18">
      <c r="A279" s="156" t="s">
        <v>235</v>
      </c>
      <c r="B279" s="421"/>
      <c r="C279" s="423"/>
      <c r="E279" s="423"/>
      <c r="F279" s="423"/>
      <c r="G279" s="423"/>
      <c r="H279" s="424"/>
      <c r="I279" s="154"/>
      <c r="J279" s="402"/>
      <c r="K279" s="155"/>
      <c r="L279" s="155"/>
      <c r="M279" s="155"/>
      <c r="N279" s="155"/>
      <c r="O279" s="155"/>
      <c r="P279" s="155"/>
    </row>
    <row r="280" spans="1:16" ht="18.75" thickBot="1">
      <c r="A280" s="156"/>
      <c r="B280" s="421"/>
      <c r="C280" s="422"/>
      <c r="D280" s="423"/>
      <c r="E280" s="423"/>
      <c r="F280" s="423"/>
      <c r="G280" s="423"/>
      <c r="H280" s="424"/>
      <c r="I280" s="154"/>
      <c r="J280" s="402"/>
      <c r="K280" s="155"/>
      <c r="L280" s="155"/>
      <c r="M280" s="155"/>
      <c r="N280" s="155"/>
      <c r="O280" s="155"/>
      <c r="P280" s="155"/>
    </row>
    <row r="281" spans="1:16" ht="24.75" thickBot="1">
      <c r="A281" s="160" t="s">
        <v>2</v>
      </c>
      <c r="B281" s="160" t="s">
        <v>3</v>
      </c>
      <c r="C281" s="161" t="s">
        <v>4</v>
      </c>
      <c r="D281" s="162" t="s">
        <v>236</v>
      </c>
      <c r="E281" s="163" t="s">
        <v>237</v>
      </c>
      <c r="F281" s="163" t="s">
        <v>238</v>
      </c>
      <c r="G281" s="161" t="s">
        <v>239</v>
      </c>
      <c r="H281" s="165" t="s">
        <v>188</v>
      </c>
      <c r="I281" s="154"/>
      <c r="J281" s="402"/>
      <c r="K281" s="155"/>
      <c r="L281" s="155"/>
      <c r="M281" s="155"/>
      <c r="N281" s="155"/>
      <c r="O281" s="155"/>
      <c r="P281" s="155"/>
    </row>
    <row r="282" spans="1:16" ht="13.5" thickBot="1">
      <c r="A282" s="425">
        <v>1</v>
      </c>
      <c r="B282" s="425">
        <v>2</v>
      </c>
      <c r="C282" s="426">
        <v>3</v>
      </c>
      <c r="D282" s="427">
        <v>4</v>
      </c>
      <c r="E282" s="171">
        <v>4</v>
      </c>
      <c r="F282" s="171">
        <v>5</v>
      </c>
      <c r="G282" s="171">
        <v>7</v>
      </c>
      <c r="H282" s="171">
        <v>6</v>
      </c>
      <c r="I282" s="154"/>
      <c r="J282" s="402"/>
      <c r="K282" s="155"/>
      <c r="L282" s="155"/>
      <c r="M282" s="155"/>
      <c r="N282" s="155"/>
      <c r="O282" s="155"/>
      <c r="P282" s="155"/>
    </row>
    <row r="283" spans="1:16" s="429" customFormat="1" ht="18">
      <c r="A283" s="212">
        <v>750</v>
      </c>
      <c r="B283" s="254"/>
      <c r="C283" s="205" t="s">
        <v>47</v>
      </c>
      <c r="D283" s="206">
        <f>(D284)</f>
        <v>193100</v>
      </c>
      <c r="E283" s="206">
        <f>(E284)</f>
        <v>193100</v>
      </c>
      <c r="F283" s="206">
        <f>(F284)</f>
        <v>198100</v>
      </c>
      <c r="G283" s="176"/>
      <c r="H283" s="177">
        <f>F283/E283</f>
        <v>1.0258933195235629</v>
      </c>
      <c r="I283" s="428"/>
      <c r="J283" s="402"/>
      <c r="K283" s="306"/>
      <c r="L283" s="306"/>
      <c r="M283" s="306"/>
      <c r="N283" s="306"/>
      <c r="O283" s="306"/>
      <c r="P283" s="306"/>
    </row>
    <row r="284" spans="1:16" s="2" customFormat="1" ht="15.75">
      <c r="A284" s="182"/>
      <c r="B284" s="182">
        <v>75011</v>
      </c>
      <c r="C284" s="184" t="s">
        <v>103</v>
      </c>
      <c r="D284" s="185">
        <f>SUM(D285)</f>
        <v>193100</v>
      </c>
      <c r="E284" s="185">
        <f>SUM(E285)</f>
        <v>193100</v>
      </c>
      <c r="F284" s="185">
        <f>SUM(F285)</f>
        <v>198100</v>
      </c>
      <c r="G284" s="185"/>
      <c r="H284" s="208">
        <f>F284/E284</f>
        <v>1.0258933195235629</v>
      </c>
      <c r="I284" s="430"/>
      <c r="J284" s="506"/>
      <c r="K284" s="431"/>
      <c r="L284" s="431"/>
      <c r="M284" s="431"/>
      <c r="N284" s="431"/>
      <c r="O284" s="431"/>
      <c r="P284" s="431"/>
    </row>
    <row r="285" spans="1:16" s="2" customFormat="1" ht="25.5" customHeight="1">
      <c r="A285" s="182"/>
      <c r="B285" s="182"/>
      <c r="C285" s="192" t="s">
        <v>6</v>
      </c>
      <c r="D285" s="193">
        <v>193100</v>
      </c>
      <c r="E285" s="193">
        <v>193100</v>
      </c>
      <c r="F285" s="193">
        <v>198100</v>
      </c>
      <c r="G285" s="193"/>
      <c r="H285" s="194">
        <f>F285/E285</f>
        <v>1.0258933195235629</v>
      </c>
      <c r="I285" s="430"/>
      <c r="J285" s="506"/>
      <c r="K285" s="431"/>
      <c r="L285" s="431"/>
      <c r="M285" s="431"/>
      <c r="N285" s="431"/>
      <c r="O285" s="431"/>
      <c r="P285" s="431"/>
    </row>
    <row r="286" spans="1:16" s="2" customFormat="1" ht="15.75">
      <c r="A286" s="182"/>
      <c r="B286" s="182"/>
      <c r="C286" s="192" t="s">
        <v>10</v>
      </c>
      <c r="D286" s="185"/>
      <c r="E286" s="185"/>
      <c r="F286" s="185"/>
      <c r="G286" s="185"/>
      <c r="H286" s="186"/>
      <c r="I286" s="430"/>
      <c r="J286" s="506"/>
      <c r="K286" s="431"/>
      <c r="L286" s="431"/>
      <c r="M286" s="431"/>
      <c r="N286" s="431"/>
      <c r="O286" s="431"/>
      <c r="P286" s="431"/>
    </row>
    <row r="287" spans="1:16" s="1" customFormat="1" ht="16.5" thickBot="1">
      <c r="A287" s="182"/>
      <c r="B287" s="182"/>
      <c r="C287" s="201" t="s">
        <v>11</v>
      </c>
      <c r="D287" s="432">
        <v>193100</v>
      </c>
      <c r="E287" s="432">
        <v>193100</v>
      </c>
      <c r="F287" s="432">
        <v>198100</v>
      </c>
      <c r="G287" s="432"/>
      <c r="H287" s="433">
        <f>F287/E287</f>
        <v>1.0258933195235629</v>
      </c>
      <c r="I287" s="305"/>
      <c r="J287" s="402"/>
      <c r="K287" s="306"/>
      <c r="L287" s="306"/>
      <c r="M287" s="306"/>
      <c r="N287" s="306"/>
      <c r="O287" s="306"/>
      <c r="P287" s="306"/>
    </row>
    <row r="288" spans="1:16" s="440" customFormat="1" ht="75" customHeight="1">
      <c r="A288" s="212">
        <v>751</v>
      </c>
      <c r="B288" s="434"/>
      <c r="C288" s="435" t="s">
        <v>240</v>
      </c>
      <c r="D288" s="436">
        <f>D289+D293</f>
        <v>8300</v>
      </c>
      <c r="E288" s="436">
        <f>E289+E293</f>
        <v>75471</v>
      </c>
      <c r="F288" s="436">
        <f>F289+F293</f>
        <v>8200</v>
      </c>
      <c r="G288" s="436"/>
      <c r="H288" s="437">
        <f>F288/E288</f>
        <v>0.10865100502179645</v>
      </c>
      <c r="I288" s="438"/>
      <c r="J288" s="506"/>
      <c r="K288" s="439"/>
      <c r="L288" s="439"/>
      <c r="M288" s="439"/>
      <c r="N288" s="439"/>
      <c r="O288" s="439"/>
      <c r="P288" s="439"/>
    </row>
    <row r="289" spans="1:16" s="445" customFormat="1" ht="48" customHeight="1">
      <c r="A289" s="441"/>
      <c r="B289" s="441">
        <v>75101</v>
      </c>
      <c r="C289" s="442" t="s">
        <v>241</v>
      </c>
      <c r="D289" s="443">
        <f>D290</f>
        <v>8300</v>
      </c>
      <c r="E289" s="443">
        <f>E290</f>
        <v>8300</v>
      </c>
      <c r="F289" s="443">
        <f>F290</f>
        <v>8200</v>
      </c>
      <c r="G289" s="443"/>
      <c r="H289" s="208">
        <f>F289/E289</f>
        <v>0.9879518072289156</v>
      </c>
      <c r="I289" s="444"/>
      <c r="J289" s="506"/>
      <c r="K289" s="190"/>
      <c r="L289" s="190"/>
      <c r="M289" s="190"/>
      <c r="N289" s="190"/>
      <c r="O289" s="190"/>
      <c r="P289" s="190"/>
    </row>
    <row r="290" spans="1:16" s="1" customFormat="1" ht="15.75">
      <c r="A290" s="182"/>
      <c r="B290" s="213"/>
      <c r="C290" s="403" t="s">
        <v>6</v>
      </c>
      <c r="D290" s="446">
        <v>8300</v>
      </c>
      <c r="E290" s="446">
        <v>8300</v>
      </c>
      <c r="F290" s="446">
        <v>8200</v>
      </c>
      <c r="G290" s="446"/>
      <c r="H290" s="194">
        <f>F290/E290</f>
        <v>0.9879518072289156</v>
      </c>
      <c r="I290" s="305"/>
      <c r="J290" s="402"/>
      <c r="K290" s="306"/>
      <c r="L290" s="306"/>
      <c r="M290" s="306"/>
      <c r="N290" s="306"/>
      <c r="O290" s="306"/>
      <c r="P290" s="306"/>
    </row>
    <row r="291" spans="1:16" s="1" customFormat="1" ht="15.75">
      <c r="A291" s="182"/>
      <c r="B291" s="213"/>
      <c r="C291" s="403" t="s">
        <v>10</v>
      </c>
      <c r="D291" s="446"/>
      <c r="E291" s="446"/>
      <c r="F291" s="446"/>
      <c r="G291" s="446"/>
      <c r="H291" s="194"/>
      <c r="I291" s="305"/>
      <c r="J291" s="402"/>
      <c r="K291" s="306"/>
      <c r="L291" s="306"/>
      <c r="M291" s="306"/>
      <c r="N291" s="306"/>
      <c r="O291" s="306"/>
      <c r="P291" s="306"/>
    </row>
    <row r="292" spans="1:16" s="1" customFormat="1" ht="13.5" customHeight="1">
      <c r="A292" s="182"/>
      <c r="B292" s="447"/>
      <c r="C292" s="224" t="s">
        <v>11</v>
      </c>
      <c r="D292" s="448">
        <v>3320</v>
      </c>
      <c r="E292" s="448">
        <v>3320</v>
      </c>
      <c r="F292" s="448">
        <v>2460</v>
      </c>
      <c r="G292" s="448"/>
      <c r="H292" s="449">
        <f>F292/E292</f>
        <v>0.7409638554216867</v>
      </c>
      <c r="I292" s="305"/>
      <c r="J292" s="402"/>
      <c r="K292" s="306"/>
      <c r="L292" s="306"/>
      <c r="M292" s="306"/>
      <c r="N292" s="306"/>
      <c r="O292" s="306"/>
      <c r="P292" s="306"/>
    </row>
    <row r="293" spans="1:16" s="1" customFormat="1" ht="33.75" customHeight="1">
      <c r="A293" s="182"/>
      <c r="B293" s="182">
        <v>75113</v>
      </c>
      <c r="C293" s="184" t="s">
        <v>242</v>
      </c>
      <c r="D293" s="450">
        <f>SUM(D294)</f>
        <v>0</v>
      </c>
      <c r="E293" s="450">
        <f>SUM(E294)</f>
        <v>67171</v>
      </c>
      <c r="F293" s="450">
        <f>SUM(F294)</f>
        <v>0</v>
      </c>
      <c r="G293" s="450"/>
      <c r="H293" s="451">
        <f>F293/E293</f>
        <v>0</v>
      </c>
      <c r="I293" s="305"/>
      <c r="J293" s="402"/>
      <c r="K293" s="306"/>
      <c r="L293" s="306"/>
      <c r="M293" s="306"/>
      <c r="N293" s="306"/>
      <c r="O293" s="306"/>
      <c r="P293" s="306"/>
    </row>
    <row r="294" spans="1:16" s="1" customFormat="1" ht="16.5" customHeight="1">
      <c r="A294" s="182"/>
      <c r="B294" s="182"/>
      <c r="C294" s="201" t="s">
        <v>6</v>
      </c>
      <c r="D294" s="432">
        <v>0</v>
      </c>
      <c r="E294" s="432">
        <v>67171</v>
      </c>
      <c r="F294" s="432">
        <v>0</v>
      </c>
      <c r="G294" s="432"/>
      <c r="H294" s="433">
        <f>F294/E294</f>
        <v>0</v>
      </c>
      <c r="I294" s="305"/>
      <c r="J294" s="402"/>
      <c r="K294" s="306"/>
      <c r="L294" s="306"/>
      <c r="M294" s="306"/>
      <c r="N294" s="306"/>
      <c r="O294" s="306"/>
      <c r="P294" s="306"/>
    </row>
    <row r="295" spans="1:16" s="1" customFormat="1" ht="15.75">
      <c r="A295" s="182"/>
      <c r="B295" s="182"/>
      <c r="C295" s="201" t="s">
        <v>10</v>
      </c>
      <c r="D295" s="432"/>
      <c r="E295" s="432"/>
      <c r="F295" s="432"/>
      <c r="G295" s="432"/>
      <c r="H295" s="433"/>
      <c r="I295" s="305"/>
      <c r="J295" s="402"/>
      <c r="K295" s="306"/>
      <c r="L295" s="306"/>
      <c r="M295" s="306"/>
      <c r="N295" s="306"/>
      <c r="O295" s="306"/>
      <c r="P295" s="306"/>
    </row>
    <row r="296" spans="1:16" s="1" customFormat="1" ht="16.5" thickBot="1">
      <c r="A296" s="182"/>
      <c r="B296" s="182"/>
      <c r="C296" s="201" t="s">
        <v>11</v>
      </c>
      <c r="D296" s="432">
        <v>0</v>
      </c>
      <c r="E296" s="432">
        <v>7885</v>
      </c>
      <c r="F296" s="432">
        <v>0</v>
      </c>
      <c r="G296" s="432"/>
      <c r="H296" s="452">
        <f>F296/E296</f>
        <v>0</v>
      </c>
      <c r="I296" s="305"/>
      <c r="J296" s="402"/>
      <c r="K296" s="306"/>
      <c r="L296" s="306"/>
      <c r="M296" s="306"/>
      <c r="N296" s="306"/>
      <c r="O296" s="306"/>
      <c r="P296" s="306"/>
    </row>
    <row r="297" spans="1:16" s="181" customFormat="1" ht="39.75" customHeight="1">
      <c r="A297" s="212">
        <v>754</v>
      </c>
      <c r="B297" s="434"/>
      <c r="C297" s="453" t="s">
        <v>54</v>
      </c>
      <c r="D297" s="436">
        <f aca="true" t="shared" si="15" ref="D297:F298">D298</f>
        <v>1110</v>
      </c>
      <c r="E297" s="436">
        <f t="shared" si="15"/>
        <v>1110</v>
      </c>
      <c r="F297" s="436">
        <f>F298</f>
        <v>1800</v>
      </c>
      <c r="G297" s="436"/>
      <c r="H297" s="437">
        <f aca="true" t="shared" si="16" ref="H297:H310">F297/E297</f>
        <v>1.6216216216216217</v>
      </c>
      <c r="I297" s="220"/>
      <c r="J297" s="402"/>
      <c r="K297" s="180"/>
      <c r="L297" s="180"/>
      <c r="M297" s="180"/>
      <c r="N297" s="180"/>
      <c r="O297" s="180"/>
      <c r="P297" s="180"/>
    </row>
    <row r="298" spans="1:16" s="445" customFormat="1" ht="15.75">
      <c r="A298" s="441"/>
      <c r="B298" s="182">
        <v>75414</v>
      </c>
      <c r="C298" s="184" t="s">
        <v>28</v>
      </c>
      <c r="D298" s="443">
        <f t="shared" si="15"/>
        <v>1110</v>
      </c>
      <c r="E298" s="443">
        <f t="shared" si="15"/>
        <v>1110</v>
      </c>
      <c r="F298" s="443">
        <f t="shared" si="15"/>
        <v>1800</v>
      </c>
      <c r="G298" s="443"/>
      <c r="H298" s="208">
        <f t="shared" si="16"/>
        <v>1.6216216216216217</v>
      </c>
      <c r="I298" s="444"/>
      <c r="J298" s="506"/>
      <c r="K298" s="190"/>
      <c r="L298" s="190"/>
      <c r="M298" s="190"/>
      <c r="N298" s="190"/>
      <c r="O298" s="190"/>
      <c r="P298" s="190"/>
    </row>
    <row r="299" spans="1:16" s="459" customFormat="1" ht="22.5" customHeight="1" thickBot="1">
      <c r="A299" s="454"/>
      <c r="B299" s="455"/>
      <c r="C299" s="456" t="s">
        <v>6</v>
      </c>
      <c r="D299" s="457">
        <v>1110</v>
      </c>
      <c r="E299" s="457">
        <v>1110</v>
      </c>
      <c r="F299" s="457">
        <v>1800</v>
      </c>
      <c r="G299" s="457" t="s">
        <v>189</v>
      </c>
      <c r="H299" s="210">
        <f t="shared" si="16"/>
        <v>1.6216216216216217</v>
      </c>
      <c r="I299" s="458"/>
      <c r="J299" s="402"/>
      <c r="K299" s="180"/>
      <c r="L299" s="180"/>
      <c r="M299" s="180"/>
      <c r="N299" s="180"/>
      <c r="O299" s="180"/>
      <c r="P299" s="180"/>
    </row>
    <row r="300" spans="1:16" s="440" customFormat="1" ht="18">
      <c r="A300" s="460">
        <v>852</v>
      </c>
      <c r="B300" s="460"/>
      <c r="C300" s="453" t="s">
        <v>177</v>
      </c>
      <c r="D300" s="436">
        <f>D309+D313+D315+D306</f>
        <v>2105030</v>
      </c>
      <c r="E300" s="436">
        <f>E301+E309+E313+E315+E306</f>
        <v>4126810</v>
      </c>
      <c r="F300" s="436">
        <f>F309+F313+F315+F301+F306</f>
        <v>4974460</v>
      </c>
      <c r="G300" s="436"/>
      <c r="H300" s="383">
        <f t="shared" si="16"/>
        <v>1.2054007817175978</v>
      </c>
      <c r="I300" s="438"/>
      <c r="J300" s="506"/>
      <c r="K300" s="439"/>
      <c r="L300" s="439"/>
      <c r="M300" s="439"/>
      <c r="N300" s="439"/>
      <c r="O300" s="439"/>
      <c r="P300" s="439"/>
    </row>
    <row r="301" spans="1:16" s="469" customFormat="1" ht="39.75" customHeight="1">
      <c r="A301" s="461"/>
      <c r="B301" s="462">
        <v>85212</v>
      </c>
      <c r="C301" s="463" t="s">
        <v>243</v>
      </c>
      <c r="D301" s="464">
        <f>D302+D305</f>
        <v>0</v>
      </c>
      <c r="E301" s="464">
        <f>E302+E305</f>
        <v>2502410</v>
      </c>
      <c r="F301" s="464">
        <f>F302+F305</f>
        <v>4010000</v>
      </c>
      <c r="G301" s="465"/>
      <c r="H301" s="466">
        <f t="shared" si="16"/>
        <v>1.6024552331552384</v>
      </c>
      <c r="I301" s="467"/>
      <c r="J301" s="514"/>
      <c r="K301" s="468"/>
      <c r="L301" s="468"/>
      <c r="M301" s="468"/>
      <c r="N301" s="468"/>
      <c r="O301" s="468"/>
      <c r="P301" s="468"/>
    </row>
    <row r="302" spans="1:16" s="469" customFormat="1" ht="18" customHeight="1">
      <c r="A302" s="461"/>
      <c r="B302" s="470"/>
      <c r="C302" s="471" t="s">
        <v>6</v>
      </c>
      <c r="D302" s="465">
        <v>0</v>
      </c>
      <c r="E302" s="465">
        <v>2491960</v>
      </c>
      <c r="F302" s="465">
        <v>4010000</v>
      </c>
      <c r="G302" s="465"/>
      <c r="H302" s="472">
        <f t="shared" si="16"/>
        <v>1.609175107144577</v>
      </c>
      <c r="I302" s="467"/>
      <c r="J302" s="514"/>
      <c r="K302" s="468"/>
      <c r="L302" s="468"/>
      <c r="M302" s="468"/>
      <c r="N302" s="468"/>
      <c r="O302" s="468"/>
      <c r="P302" s="468"/>
    </row>
    <row r="303" spans="1:16" s="469" customFormat="1" ht="18">
      <c r="A303" s="461"/>
      <c r="B303" s="470"/>
      <c r="C303" s="471" t="s">
        <v>10</v>
      </c>
      <c r="D303" s="465"/>
      <c r="E303" s="465"/>
      <c r="F303" s="465"/>
      <c r="G303" s="465"/>
      <c r="H303" s="473"/>
      <c r="I303" s="467"/>
      <c r="J303" s="514"/>
      <c r="K303" s="468"/>
      <c r="L303" s="468"/>
      <c r="M303" s="468"/>
      <c r="N303" s="468"/>
      <c r="O303" s="468"/>
      <c r="P303" s="468"/>
    </row>
    <row r="304" spans="1:16" s="469" customFormat="1" ht="18">
      <c r="A304" s="461"/>
      <c r="B304" s="470"/>
      <c r="C304" s="474" t="s">
        <v>11</v>
      </c>
      <c r="D304" s="465"/>
      <c r="E304" s="465">
        <v>107630</v>
      </c>
      <c r="F304" s="465">
        <v>179500</v>
      </c>
      <c r="G304" s="465"/>
      <c r="H304" s="472">
        <f t="shared" si="16"/>
        <v>1.6677506271485645</v>
      </c>
      <c r="I304" s="467"/>
      <c r="J304" s="514"/>
      <c r="K304" s="468"/>
      <c r="L304" s="468"/>
      <c r="M304" s="468"/>
      <c r="N304" s="468"/>
      <c r="O304" s="468"/>
      <c r="P304" s="468"/>
    </row>
    <row r="305" spans="1:16" s="469" customFormat="1" ht="18">
      <c r="A305" s="461"/>
      <c r="B305" s="475"/>
      <c r="C305" s="476" t="s">
        <v>148</v>
      </c>
      <c r="D305" s="477">
        <v>0</v>
      </c>
      <c r="E305" s="477">
        <v>10450</v>
      </c>
      <c r="F305" s="477"/>
      <c r="G305" s="477"/>
      <c r="H305" s="478">
        <f t="shared" si="16"/>
        <v>0</v>
      </c>
      <c r="I305" s="467"/>
      <c r="J305" s="514"/>
      <c r="K305" s="511">
        <f>F305</f>
        <v>0</v>
      </c>
      <c r="L305" s="468"/>
      <c r="M305" s="468"/>
      <c r="N305" s="468"/>
      <c r="O305" s="468"/>
      <c r="P305" s="468"/>
    </row>
    <row r="306" spans="1:16" s="440" customFormat="1" ht="39.75" customHeight="1">
      <c r="A306" s="257"/>
      <c r="B306" s="227">
        <v>85213</v>
      </c>
      <c r="C306" s="479" t="s">
        <v>244</v>
      </c>
      <c r="D306" s="229">
        <f>SUM(D308)</f>
        <v>93500</v>
      </c>
      <c r="E306" s="229">
        <f>SUM(E308)</f>
        <v>93500</v>
      </c>
      <c r="F306" s="229">
        <f>SUM(F308)</f>
        <v>89150</v>
      </c>
      <c r="G306" s="199" t="s">
        <v>189</v>
      </c>
      <c r="H306" s="261">
        <f t="shared" si="16"/>
        <v>0.953475935828877</v>
      </c>
      <c r="I306" s="438"/>
      <c r="J306" s="506"/>
      <c r="K306" s="439"/>
      <c r="L306" s="439"/>
      <c r="M306" s="439"/>
      <c r="N306" s="439"/>
      <c r="O306" s="439"/>
      <c r="P306" s="439"/>
    </row>
    <row r="307" spans="1:16" s="440" customFormat="1" ht="6.75" customHeight="1">
      <c r="A307" s="257"/>
      <c r="B307" s="227"/>
      <c r="C307" s="480"/>
      <c r="D307" s="229"/>
      <c r="E307" s="229"/>
      <c r="F307" s="229"/>
      <c r="G307" s="199"/>
      <c r="H307" s="261"/>
      <c r="I307" s="438"/>
      <c r="J307" s="506"/>
      <c r="K307" s="439"/>
      <c r="L307" s="439"/>
      <c r="M307" s="439"/>
      <c r="N307" s="439"/>
      <c r="O307" s="439"/>
      <c r="P307" s="439"/>
    </row>
    <row r="308" spans="1:16" s="440" customFormat="1" ht="18">
      <c r="A308" s="257"/>
      <c r="B308" s="481"/>
      <c r="C308" s="482" t="s">
        <v>6</v>
      </c>
      <c r="D308" s="251">
        <v>93500</v>
      </c>
      <c r="E308" s="251">
        <v>93500</v>
      </c>
      <c r="F308" s="251">
        <v>89150</v>
      </c>
      <c r="G308" s="483"/>
      <c r="H308" s="484">
        <f t="shared" si="16"/>
        <v>0.953475935828877</v>
      </c>
      <c r="I308" s="438"/>
      <c r="J308" s="506"/>
      <c r="K308" s="439"/>
      <c r="L308" s="439"/>
      <c r="M308" s="439"/>
      <c r="N308" s="439"/>
      <c r="O308" s="439"/>
      <c r="P308" s="439"/>
    </row>
    <row r="309" spans="1:16" s="211" customFormat="1" ht="67.5" customHeight="1">
      <c r="A309" s="222"/>
      <c r="B309" s="182">
        <v>85214</v>
      </c>
      <c r="C309" s="485" t="s">
        <v>245</v>
      </c>
      <c r="D309" s="185">
        <f>D310</f>
        <v>1317300</v>
      </c>
      <c r="E309" s="185">
        <f>E310</f>
        <v>954870</v>
      </c>
      <c r="F309" s="185">
        <f>SUM(F310)</f>
        <v>875310</v>
      </c>
      <c r="G309" s="185"/>
      <c r="H309" s="208">
        <f t="shared" si="16"/>
        <v>0.9166797574538943</v>
      </c>
      <c r="I309" s="237"/>
      <c r="J309" s="402"/>
      <c r="K309" s="180"/>
      <c r="L309" s="180"/>
      <c r="M309" s="180"/>
      <c r="N309" s="180"/>
      <c r="O309" s="180"/>
      <c r="P309" s="180"/>
    </row>
    <row r="310" spans="1:16" s="211" customFormat="1" ht="18" customHeight="1">
      <c r="A310" s="191"/>
      <c r="B310" s="191"/>
      <c r="C310" s="403" t="s">
        <v>6</v>
      </c>
      <c r="D310" s="193">
        <v>1317300</v>
      </c>
      <c r="E310" s="193">
        <v>954870</v>
      </c>
      <c r="F310" s="486">
        <v>875310</v>
      </c>
      <c r="G310" s="486" t="s">
        <v>193</v>
      </c>
      <c r="H310" s="194">
        <f t="shared" si="16"/>
        <v>0.9166797574538943</v>
      </c>
      <c r="I310" s="237"/>
      <c r="J310" s="402"/>
      <c r="K310" s="180"/>
      <c r="L310" s="180"/>
      <c r="M310" s="180"/>
      <c r="N310" s="180"/>
      <c r="O310" s="180"/>
      <c r="P310" s="180"/>
    </row>
    <row r="311" spans="1:16" s="211" customFormat="1" ht="18.75" customHeight="1">
      <c r="A311" s="191"/>
      <c r="B311" s="191"/>
      <c r="C311" s="403" t="s">
        <v>10</v>
      </c>
      <c r="D311" s="193"/>
      <c r="E311" s="193"/>
      <c r="F311" s="486"/>
      <c r="G311" s="486"/>
      <c r="H311" s="186"/>
      <c r="I311" s="237"/>
      <c r="J311" s="402"/>
      <c r="K311" s="180"/>
      <c r="L311" s="180"/>
      <c r="M311" s="180"/>
      <c r="N311" s="180"/>
      <c r="O311" s="180"/>
      <c r="P311" s="180"/>
    </row>
    <row r="312" spans="1:16" s="211" customFormat="1" ht="15">
      <c r="A312" s="222"/>
      <c r="B312" s="223"/>
      <c r="C312" s="224" t="s">
        <v>11</v>
      </c>
      <c r="D312" s="448">
        <v>137000</v>
      </c>
      <c r="E312" s="448">
        <v>137000</v>
      </c>
      <c r="F312" s="487"/>
      <c r="G312" s="487"/>
      <c r="H312" s="449">
        <f>F312/E312</f>
        <v>0</v>
      </c>
      <c r="I312" s="237"/>
      <c r="J312" s="402"/>
      <c r="K312" s="180"/>
      <c r="L312" s="180"/>
      <c r="M312" s="180"/>
      <c r="N312" s="180"/>
      <c r="O312" s="180"/>
      <c r="P312" s="180"/>
    </row>
    <row r="313" spans="1:16" s="211" customFormat="1" ht="36.75" customHeight="1">
      <c r="A313" s="191"/>
      <c r="B313" s="182">
        <v>85216</v>
      </c>
      <c r="C313" s="184" t="s">
        <v>246</v>
      </c>
      <c r="D313" s="185">
        <f>D314</f>
        <v>149300</v>
      </c>
      <c r="E313" s="185">
        <f>E314</f>
        <v>31100</v>
      </c>
      <c r="F313" s="185">
        <f>F314</f>
        <v>0</v>
      </c>
      <c r="G313" s="185" t="s">
        <v>189</v>
      </c>
      <c r="H313" s="208">
        <f>F313/E313</f>
        <v>0</v>
      </c>
      <c r="I313" s="237"/>
      <c r="J313" s="402"/>
      <c r="K313" s="180"/>
      <c r="L313" s="180"/>
      <c r="M313" s="180"/>
      <c r="N313" s="180"/>
      <c r="O313" s="180"/>
      <c r="P313" s="180"/>
    </row>
    <row r="314" spans="1:16" s="211" customFormat="1" ht="18" customHeight="1">
      <c r="A314" s="191"/>
      <c r="B314" s="191"/>
      <c r="C314" s="403" t="s">
        <v>6</v>
      </c>
      <c r="D314" s="193">
        <v>149300</v>
      </c>
      <c r="E314" s="193">
        <v>31100</v>
      </c>
      <c r="F314" s="486"/>
      <c r="G314" s="486"/>
      <c r="H314" s="225">
        <f>F314/E314</f>
        <v>0</v>
      </c>
      <c r="I314" s="237"/>
      <c r="J314" s="402"/>
      <c r="K314" s="180"/>
      <c r="L314" s="180"/>
      <c r="M314" s="180"/>
      <c r="N314" s="180"/>
      <c r="O314" s="180"/>
      <c r="P314" s="180"/>
    </row>
    <row r="315" spans="1:16" s="211" customFormat="1" ht="20.25" customHeight="1">
      <c r="A315" s="191"/>
      <c r="B315" s="233">
        <v>85219</v>
      </c>
      <c r="C315" s="234" t="s">
        <v>73</v>
      </c>
      <c r="D315" s="235">
        <f>D316</f>
        <v>544930</v>
      </c>
      <c r="E315" s="235">
        <f>E316</f>
        <v>544930</v>
      </c>
      <c r="F315" s="235">
        <f>F316</f>
        <v>0</v>
      </c>
      <c r="G315" s="235"/>
      <c r="H315" s="236">
        <f>F315/E315</f>
        <v>0</v>
      </c>
      <c r="I315" s="237"/>
      <c r="J315" s="402"/>
      <c r="K315" s="180"/>
      <c r="L315" s="180"/>
      <c r="M315" s="180"/>
      <c r="N315" s="180"/>
      <c r="O315" s="180"/>
      <c r="P315" s="180"/>
    </row>
    <row r="316" spans="1:16" s="211" customFormat="1" ht="15">
      <c r="A316" s="191"/>
      <c r="B316" s="191"/>
      <c r="C316" s="192" t="s">
        <v>6</v>
      </c>
      <c r="D316" s="193">
        <v>544930</v>
      </c>
      <c r="E316" s="193">
        <v>544930</v>
      </c>
      <c r="F316" s="486"/>
      <c r="G316" s="486" t="s">
        <v>189</v>
      </c>
      <c r="H316" s="194">
        <f>F316/E316</f>
        <v>0</v>
      </c>
      <c r="I316" s="237"/>
      <c r="J316" s="402"/>
      <c r="K316" s="180"/>
      <c r="L316" s="180"/>
      <c r="M316" s="180"/>
      <c r="N316" s="180"/>
      <c r="O316" s="180"/>
      <c r="P316" s="180"/>
    </row>
    <row r="317" spans="1:16" s="211" customFormat="1" ht="15.75" customHeight="1">
      <c r="A317" s="191"/>
      <c r="B317" s="191"/>
      <c r="C317" s="192" t="s">
        <v>10</v>
      </c>
      <c r="D317" s="193"/>
      <c r="E317" s="193"/>
      <c r="F317" s="486"/>
      <c r="G317" s="486"/>
      <c r="H317" s="194"/>
      <c r="I317" s="237"/>
      <c r="J317" s="402"/>
      <c r="K317" s="180"/>
      <c r="L317" s="180"/>
      <c r="M317" s="180"/>
      <c r="N317" s="180"/>
      <c r="O317" s="180"/>
      <c r="P317" s="180"/>
    </row>
    <row r="318" spans="1:16" s="1" customFormat="1" ht="15.75" customHeight="1" thickBot="1">
      <c r="A318" s="366"/>
      <c r="B318" s="376"/>
      <c r="C318" s="224" t="s">
        <v>11</v>
      </c>
      <c r="D318" s="448">
        <v>537100</v>
      </c>
      <c r="E318" s="448">
        <v>537100</v>
      </c>
      <c r="F318" s="448"/>
      <c r="G318" s="448"/>
      <c r="H318" s="449">
        <f>F318/E318</f>
        <v>0</v>
      </c>
      <c r="I318" s="305"/>
      <c r="J318" s="402"/>
      <c r="K318" s="306"/>
      <c r="L318" s="306"/>
      <c r="M318" s="306"/>
      <c r="N318" s="306"/>
      <c r="O318" s="306"/>
      <c r="P318" s="306"/>
    </row>
    <row r="319" spans="1:16" s="490" customFormat="1" ht="28.5" customHeight="1" thickBot="1">
      <c r="A319" s="539" t="s">
        <v>247</v>
      </c>
      <c r="B319" s="532"/>
      <c r="C319" s="533"/>
      <c r="D319" s="488">
        <f>D300+D297+D288+D283</f>
        <v>2307540</v>
      </c>
      <c r="E319" s="488">
        <f>E300+E297+E288+E283</f>
        <v>4396491</v>
      </c>
      <c r="F319" s="488">
        <f>F300+F297+F288+F283</f>
        <v>5182560</v>
      </c>
      <c r="G319" s="488" t="e">
        <f>#REF!+G300+G297+G288+G283</f>
        <v>#REF!</v>
      </c>
      <c r="H319" s="489">
        <f>F319/E319</f>
        <v>1.1787946341753002</v>
      </c>
      <c r="J319" s="402"/>
      <c r="K319" s="155"/>
      <c r="L319" s="155"/>
      <c r="M319" s="155"/>
      <c r="N319" s="155"/>
      <c r="O319" s="155"/>
      <c r="P319" s="155"/>
    </row>
    <row r="320" spans="1:16" ht="15.75" thickTop="1">
      <c r="A320" s="491"/>
      <c r="B320" s="421"/>
      <c r="C320" s="422"/>
      <c r="D320" s="423"/>
      <c r="J320" s="402"/>
      <c r="K320" s="155"/>
      <c r="L320" s="155"/>
      <c r="M320" s="155"/>
      <c r="N320" s="155"/>
      <c r="O320" s="155"/>
      <c r="P320" s="155"/>
    </row>
    <row r="321" spans="1:16" ht="18">
      <c r="A321" s="540" t="s">
        <v>248</v>
      </c>
      <c r="B321" s="540"/>
      <c r="C321" s="540"/>
      <c r="D321" s="540"/>
      <c r="E321" s="540"/>
      <c r="F321" s="540"/>
      <c r="G321" s="423" t="s">
        <v>193</v>
      </c>
      <c r="H321" s="424"/>
      <c r="J321" s="402"/>
      <c r="K321" s="155"/>
      <c r="L321" s="155"/>
      <c r="M321" s="155"/>
      <c r="N321" s="155"/>
      <c r="O321" s="155"/>
      <c r="P321" s="155"/>
    </row>
    <row r="322" spans="1:16" ht="18.75" thickBot="1">
      <c r="A322" s="156"/>
      <c r="B322" s="421"/>
      <c r="C322" s="422"/>
      <c r="D322" s="423"/>
      <c r="E322" s="423"/>
      <c r="F322" s="423"/>
      <c r="G322" s="423"/>
      <c r="H322" s="424"/>
      <c r="J322" s="402"/>
      <c r="K322" s="155"/>
      <c r="L322" s="155"/>
      <c r="M322" s="155"/>
      <c r="N322" s="155"/>
      <c r="O322" s="155"/>
      <c r="P322" s="155"/>
    </row>
    <row r="323" spans="1:16" ht="24.75" thickBot="1">
      <c r="A323" s="160" t="s">
        <v>2</v>
      </c>
      <c r="B323" s="160" t="s">
        <v>3</v>
      </c>
      <c r="C323" s="161" t="s">
        <v>4</v>
      </c>
      <c r="D323" s="162" t="s">
        <v>236</v>
      </c>
      <c r="E323" s="163" t="s">
        <v>237</v>
      </c>
      <c r="F323" s="163" t="s">
        <v>238</v>
      </c>
      <c r="G323" s="161" t="s">
        <v>187</v>
      </c>
      <c r="H323" s="165" t="s">
        <v>188</v>
      </c>
      <c r="J323" s="402"/>
      <c r="K323" s="155"/>
      <c r="L323" s="155"/>
      <c r="M323" s="155"/>
      <c r="N323" s="155"/>
      <c r="O323" s="155"/>
      <c r="P323" s="155"/>
    </row>
    <row r="324" spans="1:16" ht="13.5" thickBot="1">
      <c r="A324" s="425">
        <v>1</v>
      </c>
      <c r="B324" s="425">
        <v>2</v>
      </c>
      <c r="C324" s="426">
        <v>3</v>
      </c>
      <c r="D324" s="427">
        <v>4</v>
      </c>
      <c r="E324" s="171">
        <v>4</v>
      </c>
      <c r="F324" s="171">
        <v>5</v>
      </c>
      <c r="G324" s="171">
        <v>7</v>
      </c>
      <c r="H324" s="171">
        <v>6</v>
      </c>
      <c r="J324" s="402"/>
      <c r="K324" s="155"/>
      <c r="L324" s="155"/>
      <c r="M324" s="155"/>
      <c r="N324" s="155"/>
      <c r="O324" s="155"/>
      <c r="P324" s="155"/>
    </row>
    <row r="325" spans="1:16" ht="22.5" customHeight="1">
      <c r="A325" s="413">
        <v>710</v>
      </c>
      <c r="B325" s="434"/>
      <c r="C325" s="453" t="s">
        <v>45</v>
      </c>
      <c r="D325" s="436">
        <f>SUM(D326)</f>
        <v>6000</v>
      </c>
      <c r="E325" s="436">
        <f>SUM(E326)</f>
        <v>6000</v>
      </c>
      <c r="F325" s="436">
        <f>SUM(F326)</f>
        <v>0</v>
      </c>
      <c r="G325" s="436"/>
      <c r="H325" s="437">
        <f>F325/E325</f>
        <v>0</v>
      </c>
      <c r="J325" s="402"/>
      <c r="K325" s="155"/>
      <c r="L325" s="155"/>
      <c r="M325" s="155"/>
      <c r="N325" s="155"/>
      <c r="O325" s="155"/>
      <c r="P325" s="155"/>
    </row>
    <row r="326" spans="1:16" ht="19.5" customHeight="1">
      <c r="A326" s="227"/>
      <c r="B326" s="227">
        <v>71035</v>
      </c>
      <c r="C326" s="228" t="s">
        <v>145</v>
      </c>
      <c r="D326" s="229">
        <f>SUM(D328)</f>
        <v>6000</v>
      </c>
      <c r="E326" s="229">
        <f>SUM(E328)</f>
        <v>6000</v>
      </c>
      <c r="F326" s="229">
        <f>SUM(F328)</f>
        <v>0</v>
      </c>
      <c r="G326" s="199"/>
      <c r="H326" s="208">
        <f>F326/E326</f>
        <v>0</v>
      </c>
      <c r="J326" s="402"/>
      <c r="K326" s="155"/>
      <c r="L326" s="155"/>
      <c r="M326" s="155"/>
      <c r="N326" s="155"/>
      <c r="O326" s="155"/>
      <c r="P326" s="155"/>
    </row>
    <row r="327" spans="1:16" ht="6" customHeight="1">
      <c r="A327" s="257"/>
      <c r="B327" s="263"/>
      <c r="C327" s="492"/>
      <c r="D327" s="199"/>
      <c r="E327" s="199"/>
      <c r="F327" s="199"/>
      <c r="G327" s="199"/>
      <c r="H327" s="261"/>
      <c r="J327" s="402"/>
      <c r="K327" s="155"/>
      <c r="L327" s="155"/>
      <c r="M327" s="155"/>
      <c r="N327" s="155"/>
      <c r="O327" s="155"/>
      <c r="P327" s="155"/>
    </row>
    <row r="328" spans="1:16" ht="15.75" thickBot="1">
      <c r="A328" s="455"/>
      <c r="B328" s="455"/>
      <c r="C328" s="456" t="s">
        <v>6</v>
      </c>
      <c r="D328" s="209">
        <v>6000</v>
      </c>
      <c r="E328" s="209">
        <v>6000</v>
      </c>
      <c r="F328" s="209">
        <v>0</v>
      </c>
      <c r="G328" s="209"/>
      <c r="H328" s="194">
        <f>F328/E328</f>
        <v>0</v>
      </c>
      <c r="J328" s="402"/>
      <c r="K328" s="155"/>
      <c r="L328" s="155"/>
      <c r="M328" s="155"/>
      <c r="N328" s="155"/>
      <c r="O328" s="155"/>
      <c r="P328" s="155"/>
    </row>
    <row r="329" spans="1:16" ht="18">
      <c r="A329" s="493">
        <v>852</v>
      </c>
      <c r="B329" s="460"/>
      <c r="C329" s="453" t="s">
        <v>177</v>
      </c>
      <c r="D329" s="436">
        <f>SUM(D330+D334)</f>
        <v>324060</v>
      </c>
      <c r="E329" s="436">
        <f>SUM(E330+E334)</f>
        <v>324060</v>
      </c>
      <c r="F329" s="436">
        <f>SUM(F330+F334)</f>
        <v>210000</v>
      </c>
      <c r="G329" s="436"/>
      <c r="H329" s="437">
        <f>F329/E329</f>
        <v>0.6480281429364932</v>
      </c>
      <c r="J329" s="402"/>
      <c r="K329" s="155"/>
      <c r="L329" s="155"/>
      <c r="M329" s="155"/>
      <c r="N329" s="155"/>
      <c r="O329" s="155"/>
      <c r="P329" s="155"/>
    </row>
    <row r="330" spans="1:16" ht="15.75">
      <c r="A330" s="182"/>
      <c r="B330" s="182">
        <v>85203</v>
      </c>
      <c r="C330" s="184" t="s">
        <v>115</v>
      </c>
      <c r="D330" s="185">
        <f>D331</f>
        <v>210000</v>
      </c>
      <c r="E330" s="185">
        <f>E331</f>
        <v>210000</v>
      </c>
      <c r="F330" s="185">
        <f>F331</f>
        <v>210000</v>
      </c>
      <c r="G330" s="185"/>
      <c r="H330" s="186">
        <f>F330/E330</f>
        <v>1</v>
      </c>
      <c r="J330" s="402"/>
      <c r="K330" s="155"/>
      <c r="L330" s="155"/>
      <c r="M330" s="155"/>
      <c r="N330" s="155"/>
      <c r="O330" s="155"/>
      <c r="P330" s="155"/>
    </row>
    <row r="331" spans="1:16" ht="15" customHeight="1">
      <c r="A331" s="191"/>
      <c r="B331" s="191"/>
      <c r="C331" s="192" t="s">
        <v>6</v>
      </c>
      <c r="D331" s="193">
        <v>210000</v>
      </c>
      <c r="E331" s="193">
        <v>210000</v>
      </c>
      <c r="F331" s="193">
        <v>210000</v>
      </c>
      <c r="G331" s="193"/>
      <c r="H331" s="194">
        <f>F331/E331</f>
        <v>1</v>
      </c>
      <c r="J331" s="402"/>
      <c r="K331" s="155"/>
      <c r="L331" s="155"/>
      <c r="M331" s="155"/>
      <c r="N331" s="155"/>
      <c r="O331" s="155"/>
      <c r="P331" s="155"/>
    </row>
    <row r="332" spans="1:16" ht="12" customHeight="1">
      <c r="A332" s="191"/>
      <c r="B332" s="191"/>
      <c r="C332" s="192" t="s">
        <v>10</v>
      </c>
      <c r="D332" s="193"/>
      <c r="E332" s="193"/>
      <c r="F332" s="193"/>
      <c r="G332" s="193"/>
      <c r="H332" s="194"/>
      <c r="J332" s="402"/>
      <c r="K332" s="155"/>
      <c r="L332" s="155"/>
      <c r="M332" s="155"/>
      <c r="N332" s="155"/>
      <c r="O332" s="155"/>
      <c r="P332" s="155"/>
    </row>
    <row r="333" spans="1:16" ht="18" customHeight="1">
      <c r="A333" s="191"/>
      <c r="B333" s="191"/>
      <c r="C333" s="201" t="s">
        <v>11</v>
      </c>
      <c r="D333" s="312">
        <v>167940</v>
      </c>
      <c r="E333" s="312">
        <v>167940</v>
      </c>
      <c r="F333" s="312"/>
      <c r="G333" s="312" t="s">
        <v>189</v>
      </c>
      <c r="H333" s="225">
        <f>F333/E333</f>
        <v>0</v>
      </c>
      <c r="J333" s="402"/>
      <c r="K333" s="155"/>
      <c r="L333" s="155"/>
      <c r="M333" s="155"/>
      <c r="N333" s="155"/>
      <c r="O333" s="155"/>
      <c r="P333" s="155"/>
    </row>
    <row r="334" spans="1:16" ht="19.5" customHeight="1">
      <c r="A334" s="191"/>
      <c r="B334" s="233">
        <v>85295</v>
      </c>
      <c r="C334" s="494" t="s">
        <v>5</v>
      </c>
      <c r="D334" s="235">
        <f>SUM(D335)</f>
        <v>114060</v>
      </c>
      <c r="E334" s="235">
        <f>SUM(E335)</f>
        <v>114060</v>
      </c>
      <c r="F334" s="235">
        <f>SUM(F335)</f>
        <v>0</v>
      </c>
      <c r="G334" s="495"/>
      <c r="H334" s="208">
        <f>F334/E334</f>
        <v>0</v>
      </c>
      <c r="J334" s="402"/>
      <c r="K334" s="155"/>
      <c r="L334" s="155"/>
      <c r="M334" s="155"/>
      <c r="N334" s="155"/>
      <c r="O334" s="155"/>
      <c r="P334" s="155"/>
    </row>
    <row r="335" spans="1:16" ht="15">
      <c r="A335" s="191"/>
      <c r="B335" s="191"/>
      <c r="C335" s="496" t="s">
        <v>6</v>
      </c>
      <c r="D335" s="312">
        <v>114060</v>
      </c>
      <c r="E335" s="312">
        <v>114060</v>
      </c>
      <c r="F335" s="312"/>
      <c r="G335" s="312"/>
      <c r="H335" s="194">
        <f>F335/E335</f>
        <v>0</v>
      </c>
      <c r="J335" s="402"/>
      <c r="K335" s="155"/>
      <c r="L335" s="155"/>
      <c r="M335" s="155"/>
      <c r="N335" s="155"/>
      <c r="O335" s="155"/>
      <c r="P335" s="155"/>
    </row>
    <row r="336" spans="1:16" ht="17.25" customHeight="1">
      <c r="A336" s="191"/>
      <c r="B336" s="191"/>
      <c r="C336" s="496" t="s">
        <v>10</v>
      </c>
      <c r="D336" s="312"/>
      <c r="E336" s="312"/>
      <c r="F336" s="312"/>
      <c r="G336" s="312"/>
      <c r="H336" s="194"/>
      <c r="J336" s="402"/>
      <c r="K336" s="155"/>
      <c r="L336" s="155"/>
      <c r="M336" s="155"/>
      <c r="N336" s="155"/>
      <c r="O336" s="155"/>
      <c r="P336" s="155"/>
    </row>
    <row r="337" spans="1:16" ht="18" customHeight="1" thickBot="1">
      <c r="A337" s="191"/>
      <c r="B337" s="191"/>
      <c r="C337" s="496" t="s">
        <v>11</v>
      </c>
      <c r="D337" s="312">
        <v>0</v>
      </c>
      <c r="E337" s="312">
        <v>79500</v>
      </c>
      <c r="F337" s="312"/>
      <c r="G337" s="312"/>
      <c r="H337" s="194">
        <f>F337/E337</f>
        <v>0</v>
      </c>
      <c r="J337" s="402"/>
      <c r="K337" s="155"/>
      <c r="L337" s="155"/>
      <c r="M337" s="155"/>
      <c r="N337" s="155"/>
      <c r="O337" s="155"/>
      <c r="P337" s="155"/>
    </row>
    <row r="338" spans="1:16" ht="41.25" customHeight="1">
      <c r="A338" s="212">
        <v>921</v>
      </c>
      <c r="B338" s="253"/>
      <c r="C338" s="497" t="s">
        <v>91</v>
      </c>
      <c r="D338" s="206">
        <f>D339+D343</f>
        <v>70000</v>
      </c>
      <c r="E338" s="206">
        <f>E339+E343</f>
        <v>172000</v>
      </c>
      <c r="F338" s="206">
        <f>F339+F343</f>
        <v>70000</v>
      </c>
      <c r="G338" s="206"/>
      <c r="H338" s="207">
        <f>F338/E338</f>
        <v>0.4069767441860465</v>
      </c>
      <c r="J338" s="402"/>
      <c r="K338" s="155"/>
      <c r="L338" s="155"/>
      <c r="M338" s="155"/>
      <c r="N338" s="155"/>
      <c r="O338" s="155"/>
      <c r="P338" s="155"/>
    </row>
    <row r="339" spans="1:16" ht="21" customHeight="1">
      <c r="A339" s="182"/>
      <c r="B339" s="362">
        <v>92116</v>
      </c>
      <c r="C339" s="200" t="s">
        <v>21</v>
      </c>
      <c r="D339" s="185">
        <f>D340</f>
        <v>70000</v>
      </c>
      <c r="E339" s="185">
        <f>E340</f>
        <v>70000</v>
      </c>
      <c r="F339" s="185">
        <f>F340</f>
        <v>70000</v>
      </c>
      <c r="G339" s="185" t="s">
        <v>193</v>
      </c>
      <c r="H339" s="208">
        <f>F339/E339</f>
        <v>1</v>
      </c>
      <c r="J339" s="402"/>
      <c r="K339" s="155"/>
      <c r="L339" s="155"/>
      <c r="M339" s="155"/>
      <c r="N339" s="155"/>
      <c r="O339" s="155"/>
      <c r="P339" s="155"/>
    </row>
    <row r="340" spans="1:16" ht="20.25" customHeight="1">
      <c r="A340" s="191"/>
      <c r="B340" s="222"/>
      <c r="C340" s="192" t="s">
        <v>6</v>
      </c>
      <c r="D340" s="193">
        <v>70000</v>
      </c>
      <c r="E340" s="193">
        <v>70000</v>
      </c>
      <c r="F340" s="193">
        <v>70000</v>
      </c>
      <c r="G340" s="193"/>
      <c r="H340" s="194">
        <f>F340/E340</f>
        <v>1</v>
      </c>
      <c r="J340" s="402"/>
      <c r="K340" s="155"/>
      <c r="L340" s="155"/>
      <c r="M340" s="155"/>
      <c r="N340" s="155"/>
      <c r="O340" s="155"/>
      <c r="P340" s="155"/>
    </row>
    <row r="341" spans="1:16" ht="15.75" customHeight="1">
      <c r="A341" s="191"/>
      <c r="B341" s="222"/>
      <c r="C341" s="192" t="s">
        <v>10</v>
      </c>
      <c r="D341" s="193"/>
      <c r="E341" s="193"/>
      <c r="F341" s="193"/>
      <c r="G341" s="193"/>
      <c r="H341" s="194"/>
      <c r="J341" s="402"/>
      <c r="K341" s="155"/>
      <c r="L341" s="155"/>
      <c r="M341" s="155"/>
      <c r="N341" s="155"/>
      <c r="O341" s="155"/>
      <c r="P341" s="155"/>
    </row>
    <row r="342" spans="1:16" ht="17.25" customHeight="1">
      <c r="A342" s="191"/>
      <c r="B342" s="498"/>
      <c r="C342" s="265" t="s">
        <v>13</v>
      </c>
      <c r="D342" s="202">
        <v>70000</v>
      </c>
      <c r="E342" s="202">
        <v>70000</v>
      </c>
      <c r="F342" s="202">
        <v>70000</v>
      </c>
      <c r="G342" s="202"/>
      <c r="H342" s="225">
        <f>F342/E342</f>
        <v>1</v>
      </c>
      <c r="J342" s="402"/>
      <c r="K342" s="155"/>
      <c r="L342" s="155"/>
      <c r="M342" s="155"/>
      <c r="N342" s="155"/>
      <c r="O342" s="155"/>
      <c r="P342" s="155"/>
    </row>
    <row r="343" spans="1:16" ht="21.75" customHeight="1">
      <c r="A343" s="191"/>
      <c r="B343" s="213">
        <v>92118</v>
      </c>
      <c r="C343" s="184" t="s">
        <v>20</v>
      </c>
      <c r="D343" s="185">
        <f>SUM(D344)</f>
        <v>0</v>
      </c>
      <c r="E343" s="185">
        <f>SUM(E344)</f>
        <v>102000</v>
      </c>
      <c r="F343" s="185">
        <f>SUM(F344)</f>
        <v>0</v>
      </c>
      <c r="G343" s="185"/>
      <c r="H343" s="208">
        <f>F343/E343</f>
        <v>0</v>
      </c>
      <c r="J343" s="402"/>
      <c r="K343" s="155"/>
      <c r="L343" s="155"/>
      <c r="M343" s="155"/>
      <c r="N343" s="155"/>
      <c r="O343" s="155"/>
      <c r="P343" s="155"/>
    </row>
    <row r="344" spans="1:16" ht="22.5" customHeight="1">
      <c r="A344" s="191"/>
      <c r="B344" s="222"/>
      <c r="C344" s="201" t="s">
        <v>9</v>
      </c>
      <c r="D344" s="312">
        <v>0</v>
      </c>
      <c r="E344" s="312">
        <v>102000</v>
      </c>
      <c r="F344" s="312">
        <v>0</v>
      </c>
      <c r="G344" s="312"/>
      <c r="H344" s="194">
        <f>F344/E344</f>
        <v>0</v>
      </c>
      <c r="J344" s="402"/>
      <c r="K344" s="510">
        <f>F344</f>
        <v>0</v>
      </c>
      <c r="L344" s="155"/>
      <c r="M344" s="155"/>
      <c r="N344" s="155"/>
      <c r="O344" s="155"/>
      <c r="P344" s="155"/>
    </row>
    <row r="345" spans="1:16" ht="16.5" customHeight="1">
      <c r="A345" s="499"/>
      <c r="B345" s="222"/>
      <c r="C345" s="195" t="s">
        <v>10</v>
      </c>
      <c r="D345" s="312"/>
      <c r="E345" s="312"/>
      <c r="F345" s="312"/>
      <c r="G345" s="312"/>
      <c r="H345" s="194"/>
      <c r="J345" s="402"/>
      <c r="K345" s="155"/>
      <c r="L345" s="155"/>
      <c r="M345" s="155"/>
      <c r="N345" s="155"/>
      <c r="O345" s="155"/>
      <c r="P345" s="155"/>
    </row>
    <row r="346" spans="1:16" ht="15" customHeight="1" thickBot="1">
      <c r="A346" s="499"/>
      <c r="B346" s="219"/>
      <c r="C346" s="195" t="s">
        <v>13</v>
      </c>
      <c r="D346" s="312">
        <v>0</v>
      </c>
      <c r="E346" s="312">
        <v>102000</v>
      </c>
      <c r="F346" s="312">
        <v>0</v>
      </c>
      <c r="G346" s="312"/>
      <c r="H346" s="194">
        <f>F346/E346</f>
        <v>0</v>
      </c>
      <c r="J346" s="306"/>
      <c r="K346" s="155"/>
      <c r="L346" s="155"/>
      <c r="M346" s="155"/>
      <c r="N346" s="155"/>
      <c r="O346" s="155"/>
      <c r="P346" s="155"/>
    </row>
    <row r="347" spans="1:16" ht="35.25" customHeight="1" thickBot="1">
      <c r="A347" s="531" t="s">
        <v>249</v>
      </c>
      <c r="B347" s="532"/>
      <c r="C347" s="533"/>
      <c r="D347" s="488">
        <f>D338+D329+D325</f>
        <v>400060</v>
      </c>
      <c r="E347" s="488">
        <f>E338+E329+E325</f>
        <v>502060</v>
      </c>
      <c r="F347" s="488">
        <f>F338+F329+F325</f>
        <v>280000</v>
      </c>
      <c r="G347" s="488"/>
      <c r="H347" s="500">
        <f>F347/E347</f>
        <v>0.5577022666613553</v>
      </c>
      <c r="J347" s="306"/>
      <c r="K347" s="155"/>
      <c r="L347" s="155"/>
      <c r="M347" s="155"/>
      <c r="N347" s="155"/>
      <c r="O347" s="155"/>
      <c r="P347" s="155"/>
    </row>
    <row r="348" spans="1:16" ht="33" customHeight="1" thickBot="1">
      <c r="A348" s="534" t="s">
        <v>250</v>
      </c>
      <c r="B348" s="535"/>
      <c r="C348" s="536"/>
      <c r="D348" s="501">
        <f>D277+D319+D347</f>
        <v>74758735</v>
      </c>
      <c r="E348" s="501">
        <f>E277+E319+E347</f>
        <v>80004782</v>
      </c>
      <c r="F348" s="501">
        <f>F277+F319+F347</f>
        <v>76287240</v>
      </c>
      <c r="G348" s="501" t="e">
        <f>G277+G319+G347</f>
        <v>#REF!</v>
      </c>
      <c r="H348" s="502">
        <f>F348/E348</f>
        <v>0.953533502534886</v>
      </c>
      <c r="J348" s="306"/>
      <c r="K348" s="510">
        <f>SUM(K26:K344)</f>
        <v>5543000</v>
      </c>
      <c r="L348" s="155"/>
      <c r="M348" s="155"/>
      <c r="N348" s="155"/>
      <c r="O348" s="155"/>
      <c r="P348" s="155"/>
    </row>
    <row r="349" spans="1:7" ht="15.75" thickTop="1">
      <c r="A349" s="491"/>
      <c r="B349" s="421"/>
      <c r="C349" s="422"/>
      <c r="D349" s="423"/>
      <c r="F349" t="s">
        <v>193</v>
      </c>
      <c r="G349" t="s">
        <v>193</v>
      </c>
    </row>
    <row r="351" ht="12.75">
      <c r="G351" t="s">
        <v>193</v>
      </c>
    </row>
  </sheetData>
  <mergeCells count="6">
    <mergeCell ref="A347:C347"/>
    <mergeCell ref="A348:C348"/>
    <mergeCell ref="A2:H2"/>
    <mergeCell ref="A277:C277"/>
    <mergeCell ref="A319:C319"/>
    <mergeCell ref="A321:F321"/>
  </mergeCells>
  <printOptions/>
  <pageMargins left="0.75" right="0.75" top="1" bottom="1" header="0.5" footer="0.5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D8">
      <selection activeCell="H17" sqref="H17"/>
    </sheetView>
  </sheetViews>
  <sheetFormatPr defaultColWidth="9.00390625" defaultRowHeight="12.75"/>
  <cols>
    <col min="1" max="1" width="5.125" style="6" customWidth="1"/>
    <col min="2" max="2" width="6.875" style="8" customWidth="1"/>
    <col min="3" max="3" width="43.00390625" style="4" customWidth="1"/>
    <col min="4" max="4" width="14.625" style="9" customWidth="1"/>
    <col min="5" max="5" width="14.75390625" style="9" customWidth="1"/>
    <col min="6" max="6" width="15.00390625" style="0" customWidth="1"/>
    <col min="7" max="8" width="13.625" style="0" customWidth="1"/>
    <col min="9" max="9" width="11.375" style="0" customWidth="1"/>
    <col min="10" max="10" width="13.875" style="0" customWidth="1"/>
  </cols>
  <sheetData>
    <row r="1" spans="1:10" ht="12.75">
      <c r="A1" s="81"/>
      <c r="B1" s="76"/>
      <c r="C1" s="77"/>
      <c r="D1" s="77"/>
      <c r="E1" s="572" t="s">
        <v>149</v>
      </c>
      <c r="F1" s="572"/>
      <c r="G1" s="572"/>
      <c r="H1" s="572"/>
      <c r="I1" s="572"/>
      <c r="J1" s="572"/>
    </row>
    <row r="2" spans="1:10" ht="12.75">
      <c r="A2" s="81"/>
      <c r="B2" s="76"/>
      <c r="C2" s="77"/>
      <c r="D2" s="77"/>
      <c r="E2" s="572" t="s">
        <v>150</v>
      </c>
      <c r="F2" s="572"/>
      <c r="G2" s="572"/>
      <c r="H2" s="572"/>
      <c r="I2" s="572"/>
      <c r="J2" s="572"/>
    </row>
    <row r="3" spans="1:10" ht="12.75">
      <c r="A3" s="81"/>
      <c r="B3" s="76"/>
      <c r="C3" s="77"/>
      <c r="D3" s="77"/>
      <c r="E3" s="572" t="s">
        <v>255</v>
      </c>
      <c r="F3" s="572"/>
      <c r="G3" s="572"/>
      <c r="H3" s="572"/>
      <c r="I3" s="572"/>
      <c r="J3" s="572"/>
    </row>
    <row r="4" spans="1:10" ht="12.75">
      <c r="A4" s="81"/>
      <c r="B4" s="76"/>
      <c r="C4" s="77"/>
      <c r="D4" s="77"/>
      <c r="E4" s="572" t="s">
        <v>275</v>
      </c>
      <c r="F4" s="572"/>
      <c r="G4" s="572"/>
      <c r="H4" s="572"/>
      <c r="I4" s="572"/>
      <c r="J4" s="572"/>
    </row>
    <row r="5" spans="1:10" ht="12.75">
      <c r="A5" s="81"/>
      <c r="B5" s="76"/>
      <c r="C5" s="77"/>
      <c r="D5" s="77"/>
      <c r="E5" s="572" t="s">
        <v>151</v>
      </c>
      <c r="F5" s="572"/>
      <c r="G5" s="572"/>
      <c r="H5" s="572"/>
      <c r="I5" s="572"/>
      <c r="J5" s="572"/>
    </row>
    <row r="6" spans="1:10" ht="15" customHeight="1">
      <c r="A6" s="81"/>
      <c r="B6" s="76"/>
      <c r="C6" s="77"/>
      <c r="D6" s="77"/>
      <c r="E6" s="572" t="s">
        <v>276</v>
      </c>
      <c r="F6" s="572"/>
      <c r="G6" s="572"/>
      <c r="H6" s="572"/>
      <c r="I6" s="572"/>
      <c r="J6" s="572"/>
    </row>
    <row r="7" spans="1:10" ht="39" customHeight="1">
      <c r="A7" s="573" t="s">
        <v>251</v>
      </c>
      <c r="B7" s="573"/>
      <c r="C7" s="573"/>
      <c r="D7" s="573"/>
      <c r="E7" s="573"/>
      <c r="F7" s="573"/>
      <c r="G7" s="573"/>
      <c r="H7" s="78"/>
      <c r="I7" s="78"/>
      <c r="J7" s="78"/>
    </row>
    <row r="8" spans="1:10" ht="8.25" customHeight="1">
      <c r="A8" s="7"/>
      <c r="B8" s="7"/>
      <c r="C8" s="3"/>
      <c r="D8" s="5"/>
      <c r="E8" s="5"/>
      <c r="F8" s="78"/>
      <c r="G8" s="78"/>
      <c r="H8" s="78"/>
      <c r="I8" s="78"/>
      <c r="J8" s="78"/>
    </row>
    <row r="9" spans="1:10" ht="36" customHeight="1" thickBot="1">
      <c r="A9" s="82" t="s">
        <v>0</v>
      </c>
      <c r="B9" s="83"/>
      <c r="C9" s="84"/>
      <c r="D9" s="85"/>
      <c r="E9" s="85"/>
      <c r="F9" s="86"/>
      <c r="G9" s="86"/>
      <c r="H9" s="85" t="s">
        <v>1</v>
      </c>
      <c r="I9" s="86"/>
      <c r="J9" s="86"/>
    </row>
    <row r="10" spans="1:10" ht="21.75" customHeight="1">
      <c r="A10" s="555" t="s">
        <v>2</v>
      </c>
      <c r="B10" s="557" t="s">
        <v>3</v>
      </c>
      <c r="C10" s="559" t="s">
        <v>4</v>
      </c>
      <c r="D10" s="561" t="s">
        <v>238</v>
      </c>
      <c r="E10" s="574" t="s">
        <v>175</v>
      </c>
      <c r="F10" s="567" t="s">
        <v>10</v>
      </c>
      <c r="G10" s="567"/>
      <c r="H10" s="567"/>
      <c r="I10" s="568"/>
      <c r="J10" s="563" t="s">
        <v>152</v>
      </c>
    </row>
    <row r="11" spans="1:10" ht="78.75" customHeight="1" thickBot="1">
      <c r="A11" s="556"/>
      <c r="B11" s="558"/>
      <c r="C11" s="560"/>
      <c r="D11" s="562"/>
      <c r="E11" s="575"/>
      <c r="F11" s="50" t="s">
        <v>11</v>
      </c>
      <c r="G11" s="51" t="s">
        <v>13</v>
      </c>
      <c r="H11" s="52" t="s">
        <v>173</v>
      </c>
      <c r="I11" s="52" t="s">
        <v>174</v>
      </c>
      <c r="J11" s="564"/>
    </row>
    <row r="12" spans="1:10" ht="12.75" customHeight="1" thickBot="1">
      <c r="A12" s="87" t="s">
        <v>180</v>
      </c>
      <c r="B12" s="88" t="s">
        <v>181</v>
      </c>
      <c r="C12" s="89">
        <v>3</v>
      </c>
      <c r="D12" s="90">
        <v>4</v>
      </c>
      <c r="E12" s="38">
        <v>5</v>
      </c>
      <c r="F12" s="91">
        <v>6</v>
      </c>
      <c r="G12" s="92">
        <v>7</v>
      </c>
      <c r="H12" s="38">
        <v>8</v>
      </c>
      <c r="I12" s="38">
        <v>9</v>
      </c>
      <c r="J12" s="151">
        <v>10</v>
      </c>
    </row>
    <row r="13" spans="1:10" s="21" customFormat="1" ht="27.75" customHeight="1">
      <c r="A13" s="62" t="s">
        <v>31</v>
      </c>
      <c r="B13" s="63"/>
      <c r="C13" s="58" t="s">
        <v>32</v>
      </c>
      <c r="D13" s="20">
        <f>D14</f>
        <v>4000</v>
      </c>
      <c r="E13" s="103">
        <f>E14</f>
        <v>4000</v>
      </c>
      <c r="F13" s="93"/>
      <c r="G13" s="103">
        <f>G14</f>
        <v>4000</v>
      </c>
      <c r="H13" s="93"/>
      <c r="I13" s="93"/>
      <c r="J13" s="112"/>
    </row>
    <row r="14" spans="1:10" ht="22.5" customHeight="1" thickBot="1">
      <c r="A14" s="64"/>
      <c r="B14" s="65" t="s">
        <v>129</v>
      </c>
      <c r="C14" s="33" t="s">
        <v>134</v>
      </c>
      <c r="D14" s="10">
        <f>SUM(E14+J14)</f>
        <v>4000</v>
      </c>
      <c r="E14" s="104">
        <v>4000</v>
      </c>
      <c r="F14" s="94"/>
      <c r="G14" s="94">
        <v>4000</v>
      </c>
      <c r="H14" s="94"/>
      <c r="I14" s="94"/>
      <c r="J14" s="113"/>
    </row>
    <row r="15" spans="1:10" s="21" customFormat="1" ht="29.25" customHeight="1">
      <c r="A15" s="62" t="s">
        <v>33</v>
      </c>
      <c r="B15" s="63"/>
      <c r="C15" s="58" t="s">
        <v>7</v>
      </c>
      <c r="D15" s="20">
        <f>D16</f>
        <v>18200</v>
      </c>
      <c r="E15" s="103">
        <f>E16</f>
        <v>18200</v>
      </c>
      <c r="F15" s="93"/>
      <c r="G15" s="93"/>
      <c r="H15" s="93"/>
      <c r="I15" s="93"/>
      <c r="J15" s="112"/>
    </row>
    <row r="16" spans="1:10" ht="21.75" customHeight="1" thickBot="1">
      <c r="A16" s="64"/>
      <c r="B16" s="65" t="s">
        <v>116</v>
      </c>
      <c r="C16" s="33" t="s">
        <v>117</v>
      </c>
      <c r="D16" s="10">
        <f>SUM(E16+J16)</f>
        <v>18200</v>
      </c>
      <c r="E16" s="104">
        <v>18200</v>
      </c>
      <c r="F16" s="94"/>
      <c r="G16" s="94"/>
      <c r="H16" s="94"/>
      <c r="I16" s="94"/>
      <c r="J16" s="113"/>
    </row>
    <row r="17" spans="1:10" ht="27" customHeight="1">
      <c r="A17" s="62" t="s">
        <v>130</v>
      </c>
      <c r="B17" s="63"/>
      <c r="C17" s="58" t="s">
        <v>131</v>
      </c>
      <c r="D17" s="20">
        <f>D18</f>
        <v>297000</v>
      </c>
      <c r="E17" s="103">
        <f>E18</f>
        <v>297000</v>
      </c>
      <c r="F17" s="93"/>
      <c r="G17" s="93"/>
      <c r="H17" s="93"/>
      <c r="I17" s="93"/>
      <c r="J17" s="112"/>
    </row>
    <row r="18" spans="1:10" ht="22.5" customHeight="1" thickBot="1">
      <c r="A18" s="64"/>
      <c r="B18" s="65" t="s">
        <v>132</v>
      </c>
      <c r="C18" s="33" t="s">
        <v>133</v>
      </c>
      <c r="D18" s="10">
        <f>SUM(E18+J18)</f>
        <v>297000</v>
      </c>
      <c r="E18" s="104">
        <v>297000</v>
      </c>
      <c r="F18" s="94"/>
      <c r="G18" s="94"/>
      <c r="H18" s="94"/>
      <c r="I18" s="94"/>
      <c r="J18" s="113"/>
    </row>
    <row r="19" spans="1:10" s="21" customFormat="1" ht="30.75" customHeight="1">
      <c r="A19" s="62" t="s">
        <v>34</v>
      </c>
      <c r="B19" s="63"/>
      <c r="C19" s="58" t="s">
        <v>36</v>
      </c>
      <c r="D19" s="20">
        <f>D23+D20+D24+D21+D22</f>
        <v>8135000</v>
      </c>
      <c r="E19" s="103">
        <f aca="true" t="shared" si="0" ref="E19:J19">E23+E20+E24+E21+E22</f>
        <v>4870000</v>
      </c>
      <c r="F19" s="93"/>
      <c r="G19" s="93">
        <f t="shared" si="0"/>
        <v>1570000</v>
      </c>
      <c r="H19" s="93"/>
      <c r="I19" s="93"/>
      <c r="J19" s="112">
        <f t="shared" si="0"/>
        <v>3265000</v>
      </c>
    </row>
    <row r="20" spans="1:10" s="1" customFormat="1" ht="15">
      <c r="A20" s="66"/>
      <c r="B20" s="67" t="s">
        <v>113</v>
      </c>
      <c r="C20" s="44" t="s">
        <v>114</v>
      </c>
      <c r="D20" s="40">
        <f>SUM(E20+J20)</f>
        <v>1570000</v>
      </c>
      <c r="E20" s="105">
        <v>1570000</v>
      </c>
      <c r="F20" s="95"/>
      <c r="G20" s="95">
        <v>1570000</v>
      </c>
      <c r="H20" s="95"/>
      <c r="I20" s="95"/>
      <c r="J20" s="114"/>
    </row>
    <row r="21" spans="1:10" s="1" customFormat="1" ht="15">
      <c r="A21" s="66"/>
      <c r="B21" s="67" t="s">
        <v>146</v>
      </c>
      <c r="C21" s="44" t="s">
        <v>147</v>
      </c>
      <c r="D21" s="40">
        <f aca="true" t="shared" si="1" ref="D21:D88">SUM(E21+J21)</f>
        <v>140000</v>
      </c>
      <c r="E21" s="105"/>
      <c r="F21" s="95"/>
      <c r="G21" s="95"/>
      <c r="H21" s="95"/>
      <c r="I21" s="95"/>
      <c r="J21" s="114">
        <v>140000</v>
      </c>
    </row>
    <row r="22" spans="1:10" s="1" customFormat="1" ht="15">
      <c r="A22" s="66"/>
      <c r="B22" s="67" t="s">
        <v>170</v>
      </c>
      <c r="C22" s="44" t="s">
        <v>182</v>
      </c>
      <c r="D22" s="40">
        <f t="shared" si="1"/>
        <v>405000</v>
      </c>
      <c r="E22" s="105"/>
      <c r="F22" s="95"/>
      <c r="G22" s="95"/>
      <c r="H22" s="95"/>
      <c r="I22" s="95"/>
      <c r="J22" s="114">
        <f>350000+55000</f>
        <v>405000</v>
      </c>
    </row>
    <row r="23" spans="1:10" ht="15">
      <c r="A23" s="66"/>
      <c r="B23" s="67" t="s">
        <v>35</v>
      </c>
      <c r="C23" s="44" t="s">
        <v>8</v>
      </c>
      <c r="D23" s="40">
        <f t="shared" si="1"/>
        <v>5490000</v>
      </c>
      <c r="E23" s="105">
        <f>2470000+300000</f>
        <v>2770000</v>
      </c>
      <c r="F23" s="95"/>
      <c r="G23" s="95"/>
      <c r="H23" s="95"/>
      <c r="I23" s="95"/>
      <c r="J23" s="114">
        <v>2720000</v>
      </c>
    </row>
    <row r="24" spans="1:10" ht="15.75" thickBot="1">
      <c r="A24" s="64"/>
      <c r="B24" s="65" t="s">
        <v>135</v>
      </c>
      <c r="C24" s="33" t="s">
        <v>136</v>
      </c>
      <c r="D24" s="10">
        <f t="shared" si="1"/>
        <v>530000</v>
      </c>
      <c r="E24" s="104">
        <v>530000</v>
      </c>
      <c r="F24" s="94"/>
      <c r="G24" s="94"/>
      <c r="H24" s="94"/>
      <c r="I24" s="94"/>
      <c r="J24" s="113"/>
    </row>
    <row r="25" spans="1:10" ht="28.5" customHeight="1">
      <c r="A25" s="62" t="s">
        <v>37</v>
      </c>
      <c r="B25" s="63"/>
      <c r="C25" s="58" t="s">
        <v>38</v>
      </c>
      <c r="D25" s="20">
        <f>D26</f>
        <v>41510</v>
      </c>
      <c r="E25" s="103">
        <f>E26</f>
        <v>41510</v>
      </c>
      <c r="F25" s="93"/>
      <c r="G25" s="93">
        <f>G26</f>
        <v>23510</v>
      </c>
      <c r="H25" s="93"/>
      <c r="I25" s="93"/>
      <c r="J25" s="112"/>
    </row>
    <row r="26" spans="1:10" ht="30.75" thickBot="1">
      <c r="A26" s="64"/>
      <c r="B26" s="65" t="s">
        <v>157</v>
      </c>
      <c r="C26" s="33" t="s">
        <v>158</v>
      </c>
      <c r="D26" s="40">
        <f t="shared" si="1"/>
        <v>41510</v>
      </c>
      <c r="E26" s="104">
        <f>30510+11000</f>
        <v>41510</v>
      </c>
      <c r="F26" s="94"/>
      <c r="G26" s="94">
        <v>23510</v>
      </c>
      <c r="H26" s="94"/>
      <c r="I26" s="94"/>
      <c r="J26" s="113"/>
    </row>
    <row r="27" spans="1:10" s="21" customFormat="1" ht="31.5" customHeight="1">
      <c r="A27" s="62" t="s">
        <v>39</v>
      </c>
      <c r="B27" s="63"/>
      <c r="C27" s="58" t="s">
        <v>41</v>
      </c>
      <c r="D27" s="20">
        <f>SUM(D28:D30)</f>
        <v>3975000</v>
      </c>
      <c r="E27" s="103">
        <f>SUM(E28:E30)</f>
        <v>1515000</v>
      </c>
      <c r="F27" s="93"/>
      <c r="G27" s="93">
        <f>SUM(G28:G30)</f>
        <v>800000</v>
      </c>
      <c r="H27" s="93"/>
      <c r="I27" s="93"/>
      <c r="J27" s="112">
        <f>SUM(J28:J30)</f>
        <v>2460000</v>
      </c>
    </row>
    <row r="28" spans="1:10" s="21" customFormat="1" ht="21" customHeight="1">
      <c r="A28" s="62"/>
      <c r="B28" s="67" t="s">
        <v>40</v>
      </c>
      <c r="C28" s="44" t="s">
        <v>12</v>
      </c>
      <c r="D28" s="40">
        <f t="shared" si="1"/>
        <v>1910000</v>
      </c>
      <c r="E28" s="105">
        <v>800000</v>
      </c>
      <c r="F28" s="96"/>
      <c r="G28" s="95">
        <v>800000</v>
      </c>
      <c r="H28" s="96"/>
      <c r="I28" s="96"/>
      <c r="J28" s="114">
        <v>1110000</v>
      </c>
    </row>
    <row r="29" spans="1:10" ht="30">
      <c r="A29" s="66"/>
      <c r="B29" s="67" t="s">
        <v>42</v>
      </c>
      <c r="C29" s="44" t="s">
        <v>15</v>
      </c>
      <c r="D29" s="40">
        <f t="shared" si="1"/>
        <v>965000</v>
      </c>
      <c r="E29" s="105">
        <v>465000</v>
      </c>
      <c r="F29" s="95"/>
      <c r="G29" s="95"/>
      <c r="H29" s="95"/>
      <c r="I29" s="95"/>
      <c r="J29" s="114">
        <f>300000+200000</f>
        <v>500000</v>
      </c>
    </row>
    <row r="30" spans="1:10" ht="24.75" customHeight="1" thickBot="1">
      <c r="A30" s="64"/>
      <c r="B30" s="65" t="s">
        <v>43</v>
      </c>
      <c r="C30" s="33" t="s">
        <v>5</v>
      </c>
      <c r="D30" s="40">
        <f t="shared" si="1"/>
        <v>1100000</v>
      </c>
      <c r="E30" s="104">
        <f>80000+170000</f>
        <v>250000</v>
      </c>
      <c r="F30" s="94"/>
      <c r="G30" s="94"/>
      <c r="H30" s="94"/>
      <c r="I30" s="94"/>
      <c r="J30" s="113">
        <v>850000</v>
      </c>
    </row>
    <row r="31" spans="1:10" s="21" customFormat="1" ht="29.25" customHeight="1">
      <c r="A31" s="62" t="s">
        <v>44</v>
      </c>
      <c r="B31" s="63"/>
      <c r="C31" s="58" t="s">
        <v>45</v>
      </c>
      <c r="D31" s="20">
        <f>D32</f>
        <v>393000</v>
      </c>
      <c r="E31" s="103">
        <f>E32</f>
        <v>393000</v>
      </c>
      <c r="F31" s="93"/>
      <c r="G31" s="93"/>
      <c r="H31" s="93"/>
      <c r="I31" s="93"/>
      <c r="J31" s="112"/>
    </row>
    <row r="32" spans="1:10" ht="30.75" thickBot="1">
      <c r="A32" s="66"/>
      <c r="B32" s="67" t="s">
        <v>139</v>
      </c>
      <c r="C32" s="44" t="s">
        <v>144</v>
      </c>
      <c r="D32" s="40">
        <f t="shared" si="1"/>
        <v>393000</v>
      </c>
      <c r="E32" s="104">
        <v>393000</v>
      </c>
      <c r="F32" s="94"/>
      <c r="G32" s="94"/>
      <c r="H32" s="94"/>
      <c r="I32" s="94"/>
      <c r="J32" s="113"/>
    </row>
    <row r="33" spans="1:10" s="21" customFormat="1" ht="32.25" customHeight="1">
      <c r="A33" s="68" t="s">
        <v>46</v>
      </c>
      <c r="B33" s="63"/>
      <c r="C33" s="58" t="s">
        <v>47</v>
      </c>
      <c r="D33" s="20">
        <f>D35+D36+D37+D34</f>
        <v>7297991</v>
      </c>
      <c r="E33" s="103">
        <f aca="true" t="shared" si="2" ref="E33:J33">E35+E36+E37+E34</f>
        <v>6942991</v>
      </c>
      <c r="F33" s="93">
        <f t="shared" si="2"/>
        <v>4668264</v>
      </c>
      <c r="G33" s="93"/>
      <c r="H33" s="93"/>
      <c r="I33" s="93"/>
      <c r="J33" s="112">
        <f t="shared" si="2"/>
        <v>355000</v>
      </c>
    </row>
    <row r="34" spans="1:10" s="21" customFormat="1" ht="21.75" customHeight="1">
      <c r="A34" s="62"/>
      <c r="B34" s="67" t="s">
        <v>102</v>
      </c>
      <c r="C34" s="44" t="s">
        <v>103</v>
      </c>
      <c r="D34" s="40">
        <f t="shared" si="1"/>
        <v>311157</v>
      </c>
      <c r="E34" s="105">
        <v>311157</v>
      </c>
      <c r="F34" s="95">
        <v>311157</v>
      </c>
      <c r="G34" s="96"/>
      <c r="H34" s="96"/>
      <c r="I34" s="96"/>
      <c r="J34" s="115"/>
    </row>
    <row r="35" spans="1:10" ht="30">
      <c r="A35" s="66"/>
      <c r="B35" s="67" t="s">
        <v>48</v>
      </c>
      <c r="C35" s="44" t="s">
        <v>49</v>
      </c>
      <c r="D35" s="40">
        <f t="shared" si="1"/>
        <v>429000</v>
      </c>
      <c r="E35" s="105">
        <f>394000+35000</f>
        <v>429000</v>
      </c>
      <c r="F35" s="95"/>
      <c r="G35" s="95"/>
      <c r="H35" s="95"/>
      <c r="I35" s="95"/>
      <c r="J35" s="114"/>
    </row>
    <row r="36" spans="1:10" ht="30">
      <c r="A36" s="66"/>
      <c r="B36" s="67" t="s">
        <v>50</v>
      </c>
      <c r="C36" s="44" t="s">
        <v>51</v>
      </c>
      <c r="D36" s="40">
        <f t="shared" si="1"/>
        <v>6552334</v>
      </c>
      <c r="E36" s="105">
        <f>6167334+30000</f>
        <v>6197334</v>
      </c>
      <c r="F36" s="95">
        <v>4357107</v>
      </c>
      <c r="G36" s="95"/>
      <c r="H36" s="95"/>
      <c r="I36" s="95"/>
      <c r="J36" s="114">
        <f>320000+35000</f>
        <v>355000</v>
      </c>
    </row>
    <row r="37" spans="1:10" ht="15.75" thickBot="1">
      <c r="A37" s="64"/>
      <c r="B37" s="65" t="s">
        <v>52</v>
      </c>
      <c r="C37" s="33" t="s">
        <v>5</v>
      </c>
      <c r="D37" s="40">
        <f t="shared" si="1"/>
        <v>5500</v>
      </c>
      <c r="E37" s="104">
        <v>5500</v>
      </c>
      <c r="F37" s="94"/>
      <c r="G37" s="94"/>
      <c r="H37" s="94"/>
      <c r="I37" s="94"/>
      <c r="J37" s="113"/>
    </row>
    <row r="38" spans="1:10" s="21" customFormat="1" ht="41.25" customHeight="1">
      <c r="A38" s="62" t="s">
        <v>53</v>
      </c>
      <c r="B38" s="63"/>
      <c r="C38" s="58" t="s">
        <v>54</v>
      </c>
      <c r="D38" s="20">
        <f>SUM(D39:D42)</f>
        <v>755327</v>
      </c>
      <c r="E38" s="103">
        <f aca="true" t="shared" si="3" ref="E38:J38">SUM(E39:E42)</f>
        <v>710327</v>
      </c>
      <c r="F38" s="93">
        <f t="shared" si="3"/>
        <v>471970</v>
      </c>
      <c r="G38" s="93"/>
      <c r="H38" s="93"/>
      <c r="I38" s="93"/>
      <c r="J38" s="112">
        <f t="shared" si="3"/>
        <v>45000</v>
      </c>
    </row>
    <row r="39" spans="1:10" ht="18.75" customHeight="1">
      <c r="A39" s="66"/>
      <c r="B39" s="67" t="s">
        <v>55</v>
      </c>
      <c r="C39" s="44" t="s">
        <v>14</v>
      </c>
      <c r="D39" s="40">
        <f t="shared" si="1"/>
        <v>173600</v>
      </c>
      <c r="E39" s="105">
        <v>138600</v>
      </c>
      <c r="F39" s="95">
        <f>700+16800</f>
        <v>17500</v>
      </c>
      <c r="G39" s="95"/>
      <c r="H39" s="95"/>
      <c r="I39" s="95"/>
      <c r="J39" s="114">
        <v>35000</v>
      </c>
    </row>
    <row r="40" spans="1:10" ht="18.75" customHeight="1">
      <c r="A40" s="66"/>
      <c r="B40" s="67" t="s">
        <v>56</v>
      </c>
      <c r="C40" s="44" t="s">
        <v>28</v>
      </c>
      <c r="D40" s="40">
        <f t="shared" si="1"/>
        <v>38600</v>
      </c>
      <c r="E40" s="105">
        <v>38600</v>
      </c>
      <c r="F40" s="95"/>
      <c r="G40" s="95"/>
      <c r="H40" s="95"/>
      <c r="I40" s="95"/>
      <c r="J40" s="114"/>
    </row>
    <row r="41" spans="1:10" ht="20.25" customHeight="1">
      <c r="A41" s="66"/>
      <c r="B41" s="67" t="s">
        <v>57</v>
      </c>
      <c r="C41" s="44" t="s">
        <v>58</v>
      </c>
      <c r="D41" s="40">
        <f>SUM(E41+J41)</f>
        <v>533127</v>
      </c>
      <c r="E41" s="105">
        <v>533127</v>
      </c>
      <c r="F41" s="95">
        <v>454470</v>
      </c>
      <c r="G41" s="95"/>
      <c r="H41" s="95"/>
      <c r="I41" s="95"/>
      <c r="J41" s="114"/>
    </row>
    <row r="42" spans="1:10" ht="24" customHeight="1" thickBot="1">
      <c r="A42" s="64"/>
      <c r="B42" s="69" t="s">
        <v>171</v>
      </c>
      <c r="C42" s="80" t="s">
        <v>5</v>
      </c>
      <c r="D42" s="12">
        <f t="shared" si="1"/>
        <v>10000</v>
      </c>
      <c r="E42" s="106"/>
      <c r="F42" s="97"/>
      <c r="G42" s="97"/>
      <c r="H42" s="97"/>
      <c r="I42" s="97"/>
      <c r="J42" s="116">
        <v>10000</v>
      </c>
    </row>
    <row r="43" spans="1:10" ht="108">
      <c r="A43" s="68" t="s">
        <v>164</v>
      </c>
      <c r="B43" s="70"/>
      <c r="C43" s="58" t="s">
        <v>176</v>
      </c>
      <c r="D43" s="20">
        <f>SUM(D44)</f>
        <v>186240</v>
      </c>
      <c r="E43" s="103">
        <f>SUM(E44)</f>
        <v>186240</v>
      </c>
      <c r="F43" s="103">
        <f>SUM(F44)</f>
        <v>55000</v>
      </c>
      <c r="G43" s="93"/>
      <c r="H43" s="93"/>
      <c r="I43" s="93"/>
      <c r="J43" s="112"/>
    </row>
    <row r="44" spans="1:10" ht="30.75" thickBot="1">
      <c r="A44" s="62"/>
      <c r="B44" s="67" t="s">
        <v>165</v>
      </c>
      <c r="C44" s="44" t="s">
        <v>199</v>
      </c>
      <c r="D44" s="40">
        <f>SUM(E44+J44)</f>
        <v>186240</v>
      </c>
      <c r="E44" s="104">
        <v>186240</v>
      </c>
      <c r="F44" s="94">
        <v>55000</v>
      </c>
      <c r="G44" s="98"/>
      <c r="H44" s="98"/>
      <c r="I44" s="98"/>
      <c r="J44" s="117"/>
    </row>
    <row r="45" spans="1:10" s="2" customFormat="1" ht="36" customHeight="1">
      <c r="A45" s="68" t="s">
        <v>120</v>
      </c>
      <c r="B45" s="70"/>
      <c r="C45" s="58" t="s">
        <v>122</v>
      </c>
      <c r="D45" s="20">
        <f>D47+D46</f>
        <v>1861722</v>
      </c>
      <c r="E45" s="103">
        <f>E47+E46</f>
        <v>1861722</v>
      </c>
      <c r="F45" s="93"/>
      <c r="G45" s="93"/>
      <c r="H45" s="93">
        <f>H47+H46</f>
        <v>1503594</v>
      </c>
      <c r="I45" s="93">
        <f>I47+I46</f>
        <v>358128</v>
      </c>
      <c r="J45" s="112"/>
    </row>
    <row r="46" spans="1:10" s="2" customFormat="1" ht="45">
      <c r="A46" s="62"/>
      <c r="B46" s="67" t="s">
        <v>124</v>
      </c>
      <c r="C46" s="44" t="s">
        <v>125</v>
      </c>
      <c r="D46" s="40">
        <f t="shared" si="1"/>
        <v>1503594</v>
      </c>
      <c r="E46" s="105">
        <f>1555001-83000+31593</f>
        <v>1503594</v>
      </c>
      <c r="F46" s="96"/>
      <c r="G46" s="96"/>
      <c r="H46" s="95">
        <v>1503594</v>
      </c>
      <c r="I46" s="96"/>
      <c r="J46" s="115"/>
    </row>
    <row r="47" spans="1:10" ht="45.75" thickBot="1">
      <c r="A47" s="64"/>
      <c r="B47" s="65" t="s">
        <v>121</v>
      </c>
      <c r="C47" s="33" t="s">
        <v>123</v>
      </c>
      <c r="D47" s="40">
        <f t="shared" si="1"/>
        <v>358128</v>
      </c>
      <c r="E47" s="104">
        <v>358128</v>
      </c>
      <c r="F47" s="94"/>
      <c r="G47" s="94"/>
      <c r="H47" s="94"/>
      <c r="I47" s="94">
        <v>358128</v>
      </c>
      <c r="J47" s="113"/>
    </row>
    <row r="48" spans="1:10" s="21" customFormat="1" ht="32.25" customHeight="1">
      <c r="A48" s="62" t="s">
        <v>59</v>
      </c>
      <c r="B48" s="63"/>
      <c r="C48" s="58" t="s">
        <v>29</v>
      </c>
      <c r="D48" s="20">
        <f>D49</f>
        <v>396179</v>
      </c>
      <c r="E48" s="103">
        <f>E49</f>
        <v>396179</v>
      </c>
      <c r="F48" s="93"/>
      <c r="G48" s="93"/>
      <c r="H48" s="93"/>
      <c r="I48" s="93"/>
      <c r="J48" s="112"/>
    </row>
    <row r="49" spans="1:10" ht="24" customHeight="1" thickBot="1">
      <c r="A49" s="64"/>
      <c r="B49" s="65" t="s">
        <v>60</v>
      </c>
      <c r="C49" s="33" t="s">
        <v>30</v>
      </c>
      <c r="D49" s="40">
        <f t="shared" si="1"/>
        <v>396179</v>
      </c>
      <c r="E49" s="104">
        <v>396179</v>
      </c>
      <c r="F49" s="94"/>
      <c r="G49" s="94"/>
      <c r="H49" s="94"/>
      <c r="I49" s="94"/>
      <c r="J49" s="113"/>
    </row>
    <row r="50" spans="1:10" s="21" customFormat="1" ht="26.25" customHeight="1">
      <c r="A50" s="62" t="s">
        <v>61</v>
      </c>
      <c r="B50" s="63"/>
      <c r="C50" s="58" t="s">
        <v>16</v>
      </c>
      <c r="D50" s="522">
        <f>D51+D52+D53+D54+D55+D56+D57+D58</f>
        <v>29787179</v>
      </c>
      <c r="E50" s="103">
        <f aca="true" t="shared" si="4" ref="E50:J50">E51+E52+E53+E54+E55+E56+E57+E58</f>
        <v>29169970</v>
      </c>
      <c r="F50" s="93">
        <f t="shared" si="4"/>
        <v>21733059</v>
      </c>
      <c r="G50" s="93">
        <f t="shared" si="4"/>
        <v>217600</v>
      </c>
      <c r="H50" s="93"/>
      <c r="I50" s="93"/>
      <c r="J50" s="112">
        <f t="shared" si="4"/>
        <v>617209</v>
      </c>
    </row>
    <row r="51" spans="1:10" ht="21.75" customHeight="1">
      <c r="A51" s="66"/>
      <c r="B51" s="67" t="s">
        <v>62</v>
      </c>
      <c r="C51" s="44" t="s">
        <v>17</v>
      </c>
      <c r="D51" s="40">
        <f t="shared" si="1"/>
        <v>14359500</v>
      </c>
      <c r="E51" s="105">
        <f>13715400+69100</f>
        <v>13784500</v>
      </c>
      <c r="F51" s="95">
        <v>10324000</v>
      </c>
      <c r="G51" s="95"/>
      <c r="H51" s="95"/>
      <c r="I51" s="95"/>
      <c r="J51" s="114">
        <f>500000+75000</f>
        <v>575000</v>
      </c>
    </row>
    <row r="52" spans="1:10" ht="20.25" customHeight="1">
      <c r="A52" s="66"/>
      <c r="B52" s="67" t="s">
        <v>63</v>
      </c>
      <c r="C52" s="44" t="s">
        <v>159</v>
      </c>
      <c r="D52" s="40">
        <f t="shared" si="1"/>
        <v>6037600</v>
      </c>
      <c r="E52" s="105">
        <f>6024000+13600</f>
        <v>6037600</v>
      </c>
      <c r="F52" s="95">
        <v>4289259</v>
      </c>
      <c r="G52" s="95">
        <v>217600</v>
      </c>
      <c r="H52" s="95"/>
      <c r="I52" s="95"/>
      <c r="J52" s="114"/>
    </row>
    <row r="53" spans="1:10" ht="18.75" customHeight="1">
      <c r="A53" s="66"/>
      <c r="B53" s="67" t="s">
        <v>64</v>
      </c>
      <c r="C53" s="44" t="s">
        <v>18</v>
      </c>
      <c r="D53" s="40">
        <f t="shared" si="1"/>
        <v>7611000</v>
      </c>
      <c r="E53" s="105">
        <f>7556000+55000</f>
        <v>7611000</v>
      </c>
      <c r="F53" s="95">
        <v>6183300</v>
      </c>
      <c r="G53" s="95"/>
      <c r="H53" s="95"/>
      <c r="I53" s="95"/>
      <c r="J53" s="114"/>
    </row>
    <row r="54" spans="1:10" ht="18" customHeight="1">
      <c r="A54" s="66"/>
      <c r="B54" s="67" t="s">
        <v>65</v>
      </c>
      <c r="C54" s="44" t="s">
        <v>19</v>
      </c>
      <c r="D54" s="40">
        <f t="shared" si="1"/>
        <v>217000</v>
      </c>
      <c r="E54" s="105">
        <v>217000</v>
      </c>
      <c r="F54" s="95">
        <v>25500</v>
      </c>
      <c r="G54" s="95"/>
      <c r="H54" s="95"/>
      <c r="I54" s="95"/>
      <c r="J54" s="114"/>
    </row>
    <row r="55" spans="1:10" ht="30">
      <c r="A55" s="66"/>
      <c r="B55" s="67" t="s">
        <v>66</v>
      </c>
      <c r="C55" s="44" t="s">
        <v>160</v>
      </c>
      <c r="D55" s="40">
        <f t="shared" si="1"/>
        <v>1119579</v>
      </c>
      <c r="E55" s="105">
        <f>943000+370+134000</f>
        <v>1077370</v>
      </c>
      <c r="F55" s="95">
        <f>778000+99000</f>
        <v>877000</v>
      </c>
      <c r="G55" s="95"/>
      <c r="H55" s="95"/>
      <c r="I55" s="95"/>
      <c r="J55" s="114">
        <v>42209</v>
      </c>
    </row>
    <row r="56" spans="1:10" ht="18.75" customHeight="1">
      <c r="A56" s="66"/>
      <c r="B56" s="67" t="s">
        <v>140</v>
      </c>
      <c r="C56" s="44" t="s">
        <v>141</v>
      </c>
      <c r="D56" s="40">
        <f t="shared" si="1"/>
        <v>4000</v>
      </c>
      <c r="E56" s="105">
        <v>4000</v>
      </c>
      <c r="F56" s="95">
        <v>4000</v>
      </c>
      <c r="G56" s="95"/>
      <c r="H56" s="95"/>
      <c r="I56" s="95"/>
      <c r="J56" s="114"/>
    </row>
    <row r="57" spans="1:10" ht="33" customHeight="1">
      <c r="A57" s="66"/>
      <c r="B57" s="67" t="s">
        <v>142</v>
      </c>
      <c r="C57" s="44" t="s">
        <v>143</v>
      </c>
      <c r="D57" s="40">
        <f t="shared" si="1"/>
        <v>134800</v>
      </c>
      <c r="E57" s="105">
        <v>134800</v>
      </c>
      <c r="F57" s="95">
        <v>30000</v>
      </c>
      <c r="G57" s="95"/>
      <c r="H57" s="95"/>
      <c r="I57" s="95"/>
      <c r="J57" s="114"/>
    </row>
    <row r="58" spans="1:10" ht="21.75" customHeight="1" thickBot="1">
      <c r="A58" s="64"/>
      <c r="B58" s="65" t="s">
        <v>67</v>
      </c>
      <c r="C58" s="33" t="s">
        <v>5</v>
      </c>
      <c r="D58" s="40">
        <f t="shared" si="1"/>
        <v>303700</v>
      </c>
      <c r="E58" s="104">
        <v>303700</v>
      </c>
      <c r="F58" s="94"/>
      <c r="G58" s="94"/>
      <c r="H58" s="94"/>
      <c r="I58" s="94"/>
      <c r="J58" s="113"/>
    </row>
    <row r="59" spans="1:10" s="21" customFormat="1" ht="22.5" customHeight="1">
      <c r="A59" s="62" t="s">
        <v>68</v>
      </c>
      <c r="B59" s="63"/>
      <c r="C59" s="58" t="s">
        <v>22</v>
      </c>
      <c r="D59" s="20">
        <f>SUM(D60:D62)</f>
        <v>976689</v>
      </c>
      <c r="E59" s="103">
        <f>SUM(E60:E62)</f>
        <v>976689</v>
      </c>
      <c r="F59" s="93">
        <f>SUM(F60:F62)</f>
        <v>139650</v>
      </c>
      <c r="G59" s="93">
        <f>SUM(G60:G62)</f>
        <v>240000</v>
      </c>
      <c r="H59" s="93"/>
      <c r="I59" s="93"/>
      <c r="J59" s="112">
        <f>SUM(J60:J62)</f>
        <v>0</v>
      </c>
    </row>
    <row r="60" spans="1:10" s="21" customFormat="1" ht="22.5" customHeight="1">
      <c r="A60" s="62"/>
      <c r="B60" s="67" t="s">
        <v>265</v>
      </c>
      <c r="C60" s="44" t="s">
        <v>212</v>
      </c>
      <c r="D60" s="40">
        <f>SUM(E60+J60)</f>
        <v>50000</v>
      </c>
      <c r="E60" s="105">
        <v>50000</v>
      </c>
      <c r="F60" s="95"/>
      <c r="G60" s="95">
        <v>50000</v>
      </c>
      <c r="H60" s="95"/>
      <c r="I60" s="95"/>
      <c r="J60" s="114"/>
    </row>
    <row r="61" spans="1:10" ht="23.25" customHeight="1">
      <c r="A61" s="66"/>
      <c r="B61" s="67" t="s">
        <v>69</v>
      </c>
      <c r="C61" s="44" t="s">
        <v>24</v>
      </c>
      <c r="D61" s="40">
        <f t="shared" si="1"/>
        <v>856689</v>
      </c>
      <c r="E61" s="105">
        <f>650000+206689</f>
        <v>856689</v>
      </c>
      <c r="F61" s="95">
        <v>139650</v>
      </c>
      <c r="G61" s="95">
        <v>120000</v>
      </c>
      <c r="H61" s="95"/>
      <c r="I61" s="95"/>
      <c r="J61" s="114"/>
    </row>
    <row r="62" spans="1:10" ht="24.75" customHeight="1" thickBot="1">
      <c r="A62" s="64"/>
      <c r="B62" s="65" t="s">
        <v>70</v>
      </c>
      <c r="C62" s="33" t="s">
        <v>27</v>
      </c>
      <c r="D62" s="40">
        <f t="shared" si="1"/>
        <v>70000</v>
      </c>
      <c r="E62" s="104">
        <v>70000</v>
      </c>
      <c r="F62" s="94"/>
      <c r="G62" s="94">
        <v>70000</v>
      </c>
      <c r="H62" s="94"/>
      <c r="I62" s="94"/>
      <c r="J62" s="113"/>
    </row>
    <row r="63" spans="1:10" s="21" customFormat="1" ht="25.5" customHeight="1">
      <c r="A63" s="62" t="s">
        <v>154</v>
      </c>
      <c r="B63" s="63"/>
      <c r="C63" s="58" t="s">
        <v>177</v>
      </c>
      <c r="D63" s="20">
        <f>D65+D66+D67+D68+D69+D64</f>
        <v>6975565</v>
      </c>
      <c r="E63" s="20">
        <f>E65+E66+E67+E68+E69+E64</f>
        <v>6967065</v>
      </c>
      <c r="F63" s="93">
        <f>F65+F66+F67+F68+F69</f>
        <v>1809540</v>
      </c>
      <c r="G63" s="93"/>
      <c r="H63" s="93"/>
      <c r="I63" s="93"/>
      <c r="J63" s="112">
        <f>J65+J66+J67+J68+J69</f>
        <v>8500</v>
      </c>
    </row>
    <row r="64" spans="1:10" s="21" customFormat="1" ht="25.5" customHeight="1">
      <c r="A64" s="62"/>
      <c r="B64" s="67" t="s">
        <v>266</v>
      </c>
      <c r="C64" s="44" t="s">
        <v>217</v>
      </c>
      <c r="D64" s="40">
        <f>SUM(E64+J64)</f>
        <v>40000</v>
      </c>
      <c r="E64" s="105">
        <v>40000</v>
      </c>
      <c r="F64" s="95"/>
      <c r="G64" s="95"/>
      <c r="H64" s="95"/>
      <c r="I64" s="95"/>
      <c r="J64" s="114"/>
    </row>
    <row r="65" spans="1:10" ht="30">
      <c r="A65" s="66"/>
      <c r="B65" s="67" t="s">
        <v>156</v>
      </c>
      <c r="C65" s="44" t="s">
        <v>138</v>
      </c>
      <c r="D65" s="40">
        <f t="shared" si="1"/>
        <v>2080630</v>
      </c>
      <c r="E65" s="105">
        <f>2082720-2090</f>
        <v>2080630</v>
      </c>
      <c r="F65" s="95">
        <v>5000</v>
      </c>
      <c r="G65" s="95"/>
      <c r="H65" s="95"/>
      <c r="I65" s="95"/>
      <c r="J65" s="114"/>
    </row>
    <row r="66" spans="1:10" ht="20.25" customHeight="1">
      <c r="A66" s="66"/>
      <c r="B66" s="67" t="s">
        <v>166</v>
      </c>
      <c r="C66" s="44" t="s">
        <v>26</v>
      </c>
      <c r="D66" s="40">
        <f t="shared" si="1"/>
        <v>2400000</v>
      </c>
      <c r="E66" s="105">
        <v>2400000</v>
      </c>
      <c r="F66" s="95"/>
      <c r="G66" s="95"/>
      <c r="H66" s="95"/>
      <c r="I66" s="95"/>
      <c r="J66" s="114"/>
    </row>
    <row r="67" spans="1:10" ht="21.75" customHeight="1">
      <c r="A67" s="66"/>
      <c r="B67" s="67" t="s">
        <v>167</v>
      </c>
      <c r="C67" s="44" t="s">
        <v>73</v>
      </c>
      <c r="D67" s="40">
        <f t="shared" si="1"/>
        <v>2316765</v>
      </c>
      <c r="E67" s="105">
        <v>2308265</v>
      </c>
      <c r="F67" s="95">
        <v>1731340</v>
      </c>
      <c r="G67" s="95"/>
      <c r="H67" s="95"/>
      <c r="I67" s="95"/>
      <c r="J67" s="114">
        <v>8500</v>
      </c>
    </row>
    <row r="68" spans="1:10" ht="30">
      <c r="A68" s="66"/>
      <c r="B68" s="67" t="s">
        <v>168</v>
      </c>
      <c r="C68" s="44" t="s">
        <v>74</v>
      </c>
      <c r="D68" s="40">
        <f t="shared" si="1"/>
        <v>10000</v>
      </c>
      <c r="E68" s="105">
        <v>10000</v>
      </c>
      <c r="F68" s="95"/>
      <c r="G68" s="95"/>
      <c r="H68" s="95"/>
      <c r="I68" s="95"/>
      <c r="J68" s="114"/>
    </row>
    <row r="69" spans="1:10" ht="24.75" customHeight="1" thickBot="1">
      <c r="A69" s="64"/>
      <c r="B69" s="65" t="s">
        <v>169</v>
      </c>
      <c r="C69" s="33" t="s">
        <v>5</v>
      </c>
      <c r="D69" s="40">
        <f t="shared" si="1"/>
        <v>128170</v>
      </c>
      <c r="E69" s="104">
        <v>128170</v>
      </c>
      <c r="F69" s="94">
        <v>73200</v>
      </c>
      <c r="G69" s="94"/>
      <c r="H69" s="94"/>
      <c r="I69" s="94"/>
      <c r="J69" s="113"/>
    </row>
    <row r="70" spans="1:10" ht="36">
      <c r="A70" s="62" t="s">
        <v>71</v>
      </c>
      <c r="B70" s="63"/>
      <c r="C70" s="58" t="s">
        <v>161</v>
      </c>
      <c r="D70" s="20">
        <f>SUM(D71:D72)</f>
        <v>511370</v>
      </c>
      <c r="E70" s="103">
        <f aca="true" t="shared" si="5" ref="E70:J70">SUM(E71:E72)</f>
        <v>511370</v>
      </c>
      <c r="F70" s="93">
        <f t="shared" si="5"/>
        <v>362500</v>
      </c>
      <c r="G70" s="93"/>
      <c r="H70" s="93"/>
      <c r="I70" s="93"/>
      <c r="J70" s="112">
        <f t="shared" si="5"/>
        <v>0</v>
      </c>
    </row>
    <row r="71" spans="1:10" ht="21" customHeight="1">
      <c r="A71" s="66"/>
      <c r="B71" s="67" t="s">
        <v>72</v>
      </c>
      <c r="C71" s="44" t="s">
        <v>23</v>
      </c>
      <c r="D71" s="40">
        <f t="shared" si="1"/>
        <v>451870</v>
      </c>
      <c r="E71" s="107">
        <v>451870</v>
      </c>
      <c r="F71" s="99">
        <v>327900</v>
      </c>
      <c r="G71" s="99"/>
      <c r="H71" s="99"/>
      <c r="I71" s="99"/>
      <c r="J71" s="118"/>
    </row>
    <row r="72" spans="1:10" ht="24.75" customHeight="1" thickBot="1">
      <c r="A72" s="64"/>
      <c r="B72" s="71" t="s">
        <v>75</v>
      </c>
      <c r="C72" s="47" t="s">
        <v>5</v>
      </c>
      <c r="D72" s="42">
        <f t="shared" si="1"/>
        <v>59500</v>
      </c>
      <c r="E72" s="106">
        <v>59500</v>
      </c>
      <c r="F72" s="97">
        <v>34600</v>
      </c>
      <c r="G72" s="97"/>
      <c r="H72" s="97"/>
      <c r="I72" s="97"/>
      <c r="J72" s="116"/>
    </row>
    <row r="73" spans="1:10" s="21" customFormat="1" ht="36.75" customHeight="1">
      <c r="A73" s="62" t="s">
        <v>76</v>
      </c>
      <c r="B73" s="72"/>
      <c r="C73" s="45" t="s">
        <v>77</v>
      </c>
      <c r="D73" s="22">
        <f>SUM(D74:D76)</f>
        <v>1097863</v>
      </c>
      <c r="E73" s="521">
        <f>SUM(E74:E76)</f>
        <v>1097863</v>
      </c>
      <c r="F73" s="100">
        <f>SUM(F74:F76)</f>
        <v>893300</v>
      </c>
      <c r="G73" s="100">
        <f>SUM(G74:G76)</f>
        <v>67263</v>
      </c>
      <c r="H73" s="100"/>
      <c r="I73" s="100"/>
      <c r="J73" s="119">
        <f>SUM(J74:J76)</f>
        <v>0</v>
      </c>
    </row>
    <row r="74" spans="1:10" ht="21.75" customHeight="1">
      <c r="A74" s="66"/>
      <c r="B74" s="67" t="s">
        <v>78</v>
      </c>
      <c r="C74" s="44" t="s">
        <v>79</v>
      </c>
      <c r="D74" s="40">
        <f t="shared" si="1"/>
        <v>972000</v>
      </c>
      <c r="E74" s="105">
        <v>972000</v>
      </c>
      <c r="F74" s="95">
        <v>871000</v>
      </c>
      <c r="G74" s="95"/>
      <c r="H74" s="95"/>
      <c r="I74" s="95"/>
      <c r="J74" s="114"/>
    </row>
    <row r="75" spans="1:10" ht="21.75" customHeight="1">
      <c r="A75" s="66"/>
      <c r="B75" s="67" t="s">
        <v>273</v>
      </c>
      <c r="C75" s="44" t="s">
        <v>271</v>
      </c>
      <c r="D75" s="40">
        <f t="shared" si="1"/>
        <v>10263</v>
      </c>
      <c r="E75" s="105">
        <v>10263</v>
      </c>
      <c r="F75" s="95"/>
      <c r="G75" s="95">
        <v>10263</v>
      </c>
      <c r="H75" s="95"/>
      <c r="I75" s="95"/>
      <c r="J75" s="114"/>
    </row>
    <row r="76" spans="1:10" ht="47.25" customHeight="1" thickBot="1">
      <c r="A76" s="64"/>
      <c r="B76" s="67" t="s">
        <v>80</v>
      </c>
      <c r="C76" s="44" t="s">
        <v>178</v>
      </c>
      <c r="D76" s="40">
        <f t="shared" si="1"/>
        <v>115600</v>
      </c>
      <c r="E76" s="105">
        <v>115600</v>
      </c>
      <c r="F76" s="95">
        <v>22300</v>
      </c>
      <c r="G76" s="95">
        <v>57000</v>
      </c>
      <c r="H76" s="95"/>
      <c r="I76" s="95"/>
      <c r="J76" s="114"/>
    </row>
    <row r="77" spans="1:10" s="21" customFormat="1" ht="36" customHeight="1">
      <c r="A77" s="62" t="s">
        <v>81</v>
      </c>
      <c r="B77" s="63"/>
      <c r="C77" s="58" t="s">
        <v>82</v>
      </c>
      <c r="D77" s="20">
        <f>D79+D80+D82+D84+D78+D81+D83</f>
        <v>4091917</v>
      </c>
      <c r="E77" s="103">
        <f>E79+E80+E82+E84+E78+E81+E83</f>
        <v>3668917</v>
      </c>
      <c r="F77" s="103">
        <f>F79+F80+F82+F84+F78+F81+F83</f>
        <v>37945</v>
      </c>
      <c r="G77" s="93">
        <f>G79+G80+G82+G84+G78+G81</f>
        <v>186160</v>
      </c>
      <c r="H77" s="93"/>
      <c r="I77" s="93"/>
      <c r="J77" s="112">
        <f>J79+J80+J82+J84+J78+J81</f>
        <v>423000</v>
      </c>
    </row>
    <row r="78" spans="1:10" s="1" customFormat="1" ht="23.25" customHeight="1">
      <c r="A78" s="66"/>
      <c r="B78" s="67" t="s">
        <v>109</v>
      </c>
      <c r="C78" s="44" t="s">
        <v>110</v>
      </c>
      <c r="D78" s="40">
        <f t="shared" si="1"/>
        <v>131000</v>
      </c>
      <c r="E78" s="105"/>
      <c r="F78" s="95"/>
      <c r="G78" s="95"/>
      <c r="H78" s="95"/>
      <c r="I78" s="95"/>
      <c r="J78" s="114">
        <f>30000+101000</f>
        <v>131000</v>
      </c>
    </row>
    <row r="79" spans="1:10" ht="21.75" customHeight="1">
      <c r="A79" s="66"/>
      <c r="B79" s="67" t="s">
        <v>83</v>
      </c>
      <c r="C79" s="44" t="s">
        <v>84</v>
      </c>
      <c r="D79" s="40">
        <f t="shared" si="1"/>
        <v>1190000</v>
      </c>
      <c r="E79" s="105">
        <v>1190000</v>
      </c>
      <c r="F79" s="95">
        <v>3605</v>
      </c>
      <c r="G79" s="95"/>
      <c r="H79" s="95"/>
      <c r="I79" s="95"/>
      <c r="J79" s="114"/>
    </row>
    <row r="80" spans="1:10" ht="35.25" customHeight="1">
      <c r="A80" s="66"/>
      <c r="B80" s="67" t="s">
        <v>85</v>
      </c>
      <c r="C80" s="44" t="s">
        <v>86</v>
      </c>
      <c r="D80" s="40">
        <f t="shared" si="1"/>
        <v>445000</v>
      </c>
      <c r="E80" s="105">
        <f>355000-30000</f>
        <v>325000</v>
      </c>
      <c r="F80" s="95">
        <v>34340</v>
      </c>
      <c r="G80" s="95"/>
      <c r="H80" s="95"/>
      <c r="I80" s="95"/>
      <c r="J80" s="114">
        <f>90000+30000</f>
        <v>120000</v>
      </c>
    </row>
    <row r="81" spans="1:10" ht="18.75" customHeight="1">
      <c r="A81" s="66"/>
      <c r="B81" s="67" t="s">
        <v>118</v>
      </c>
      <c r="C81" s="44" t="s">
        <v>119</v>
      </c>
      <c r="D81" s="40">
        <f t="shared" si="1"/>
        <v>38000</v>
      </c>
      <c r="E81" s="105">
        <v>38000</v>
      </c>
      <c r="F81" s="95"/>
      <c r="G81" s="95"/>
      <c r="H81" s="95"/>
      <c r="I81" s="95"/>
      <c r="J81" s="114"/>
    </row>
    <row r="82" spans="1:10" ht="21" customHeight="1">
      <c r="A82" s="66"/>
      <c r="B82" s="67" t="s">
        <v>87</v>
      </c>
      <c r="C82" s="44" t="s">
        <v>88</v>
      </c>
      <c r="D82" s="40">
        <f t="shared" si="1"/>
        <v>1972000</v>
      </c>
      <c r="E82" s="105">
        <v>1800000</v>
      </c>
      <c r="F82" s="95"/>
      <c r="G82" s="95"/>
      <c r="H82" s="95"/>
      <c r="I82" s="95"/>
      <c r="J82" s="114">
        <f>104000+68000</f>
        <v>172000</v>
      </c>
    </row>
    <row r="83" spans="1:10" ht="45">
      <c r="A83" s="66"/>
      <c r="B83" s="67" t="s">
        <v>272</v>
      </c>
      <c r="C83" s="44" t="s">
        <v>228</v>
      </c>
      <c r="D83" s="40">
        <f t="shared" si="1"/>
        <v>3917</v>
      </c>
      <c r="E83" s="523">
        <v>3917</v>
      </c>
      <c r="F83" s="524"/>
      <c r="G83" s="524"/>
      <c r="H83" s="524"/>
      <c r="I83" s="524"/>
      <c r="J83" s="525"/>
    </row>
    <row r="84" spans="1:10" ht="22.5" customHeight="1" thickBot="1">
      <c r="A84" s="64"/>
      <c r="B84" s="65" t="s">
        <v>89</v>
      </c>
      <c r="C84" s="33" t="s">
        <v>5</v>
      </c>
      <c r="D84" s="40">
        <f t="shared" si="1"/>
        <v>312000</v>
      </c>
      <c r="E84" s="104">
        <v>312000</v>
      </c>
      <c r="F84" s="94"/>
      <c r="G84" s="94">
        <v>186160</v>
      </c>
      <c r="H84" s="94"/>
      <c r="I84" s="94"/>
      <c r="J84" s="113"/>
    </row>
    <row r="85" spans="1:10" s="21" customFormat="1" ht="34.5" customHeight="1">
      <c r="A85" s="62" t="s">
        <v>90</v>
      </c>
      <c r="B85" s="63"/>
      <c r="C85" s="58" t="s">
        <v>91</v>
      </c>
      <c r="D85" s="20">
        <f>D86+D87+D88+D89</f>
        <v>5871150</v>
      </c>
      <c r="E85" s="103">
        <f>E86+E87+E88+E89</f>
        <v>5571650</v>
      </c>
      <c r="F85" s="93"/>
      <c r="G85" s="93">
        <f>SUM(G86:G89)</f>
        <v>5396650</v>
      </c>
      <c r="H85" s="93"/>
      <c r="I85" s="93"/>
      <c r="J85" s="112">
        <f>J86+J87+J88+J89</f>
        <v>299500</v>
      </c>
    </row>
    <row r="86" spans="1:10" ht="20.25" customHeight="1">
      <c r="A86" s="66"/>
      <c r="B86" s="67" t="s">
        <v>92</v>
      </c>
      <c r="C86" s="44" t="s">
        <v>93</v>
      </c>
      <c r="D86" s="40">
        <f t="shared" si="1"/>
        <v>2745600</v>
      </c>
      <c r="E86" s="105">
        <v>2545600</v>
      </c>
      <c r="F86" s="95"/>
      <c r="G86" s="95">
        <v>2545600</v>
      </c>
      <c r="H86" s="95"/>
      <c r="I86" s="95"/>
      <c r="J86" s="114">
        <v>200000</v>
      </c>
    </row>
    <row r="87" spans="1:10" ht="20.25" customHeight="1">
      <c r="A87" s="66"/>
      <c r="B87" s="67" t="s">
        <v>94</v>
      </c>
      <c r="C87" s="44" t="s">
        <v>21</v>
      </c>
      <c r="D87" s="40">
        <f t="shared" si="1"/>
        <v>1786550</v>
      </c>
      <c r="E87" s="105">
        <v>1737050</v>
      </c>
      <c r="F87" s="95"/>
      <c r="G87" s="95">
        <v>1737050</v>
      </c>
      <c r="H87" s="95"/>
      <c r="I87" s="95"/>
      <c r="J87" s="114">
        <v>49500</v>
      </c>
    </row>
    <row r="88" spans="1:10" ht="20.25" customHeight="1">
      <c r="A88" s="66"/>
      <c r="B88" s="67" t="s">
        <v>95</v>
      </c>
      <c r="C88" s="44" t="s">
        <v>20</v>
      </c>
      <c r="D88" s="40">
        <f t="shared" si="1"/>
        <v>1150000</v>
      </c>
      <c r="E88" s="105">
        <v>1100000</v>
      </c>
      <c r="F88" s="95"/>
      <c r="G88" s="95">
        <v>1100000</v>
      </c>
      <c r="H88" s="95"/>
      <c r="I88" s="95"/>
      <c r="J88" s="114">
        <v>50000</v>
      </c>
    </row>
    <row r="89" spans="1:10" ht="21.75" customHeight="1" thickBot="1">
      <c r="A89" s="64"/>
      <c r="B89" s="73" t="s">
        <v>96</v>
      </c>
      <c r="C89" s="33" t="s">
        <v>5</v>
      </c>
      <c r="D89" s="40">
        <f>SUM(E89+J89)</f>
        <v>189000</v>
      </c>
      <c r="E89" s="108">
        <f>183000+6000</f>
        <v>189000</v>
      </c>
      <c r="F89" s="94"/>
      <c r="G89" s="94">
        <v>14000</v>
      </c>
      <c r="H89" s="94"/>
      <c r="I89" s="94"/>
      <c r="J89" s="113"/>
    </row>
    <row r="90" spans="1:10" s="21" customFormat="1" ht="28.5" customHeight="1">
      <c r="A90" s="62" t="s">
        <v>97</v>
      </c>
      <c r="B90" s="74"/>
      <c r="C90" s="58" t="s">
        <v>98</v>
      </c>
      <c r="D90" s="23">
        <f>SUM(D91+D92)</f>
        <v>2081000</v>
      </c>
      <c r="E90" s="109">
        <f aca="true" t="shared" si="6" ref="E90:J90">SUM(E91+E92)</f>
        <v>1335000</v>
      </c>
      <c r="F90" s="101"/>
      <c r="G90" s="101">
        <f t="shared" si="6"/>
        <v>1305000</v>
      </c>
      <c r="H90" s="101"/>
      <c r="I90" s="101"/>
      <c r="J90" s="120">
        <f t="shared" si="6"/>
        <v>746000</v>
      </c>
    </row>
    <row r="91" spans="1:10" s="1" customFormat="1" ht="21.75" customHeight="1">
      <c r="A91" s="66"/>
      <c r="B91" s="75" t="s">
        <v>111</v>
      </c>
      <c r="C91" s="44" t="s">
        <v>112</v>
      </c>
      <c r="D91" s="40">
        <f>SUM(E91+J91)</f>
        <v>1571000</v>
      </c>
      <c r="E91" s="110">
        <v>845000</v>
      </c>
      <c r="F91" s="95"/>
      <c r="G91" s="95">
        <v>845000</v>
      </c>
      <c r="H91" s="95"/>
      <c r="I91" s="95"/>
      <c r="J91" s="114">
        <f>26000+700000</f>
        <v>726000</v>
      </c>
    </row>
    <row r="92" spans="1:10" ht="30.75" thickBot="1">
      <c r="A92" s="64"/>
      <c r="B92" s="73" t="s">
        <v>99</v>
      </c>
      <c r="C92" s="33" t="s">
        <v>100</v>
      </c>
      <c r="D92" s="40">
        <f>SUM(E92+J92)</f>
        <v>510000</v>
      </c>
      <c r="E92" s="108">
        <f>457000+33000</f>
        <v>490000</v>
      </c>
      <c r="F92" s="94"/>
      <c r="G92" s="94">
        <f>427000+33000</f>
        <v>460000</v>
      </c>
      <c r="H92" s="94"/>
      <c r="I92" s="94"/>
      <c r="J92" s="113">
        <v>20000</v>
      </c>
    </row>
    <row r="93" spans="1:10" s="21" customFormat="1" ht="35.25" customHeight="1" thickBot="1">
      <c r="A93" s="552" t="s">
        <v>101</v>
      </c>
      <c r="B93" s="553"/>
      <c r="C93" s="554"/>
      <c r="D93" s="526">
        <f aca="true" t="shared" si="7" ref="D93:J93">D13+D15+D17+D19+D25+D27+D31+D33+D38+D43+D45+D48+D50+D59+D63+D70+D73+D77+D85+D90</f>
        <v>74753902</v>
      </c>
      <c r="E93" s="111">
        <f t="shared" si="7"/>
        <v>66534693</v>
      </c>
      <c r="F93" s="102">
        <f t="shared" si="7"/>
        <v>30171228</v>
      </c>
      <c r="G93" s="102">
        <f t="shared" si="7"/>
        <v>9810183</v>
      </c>
      <c r="H93" s="102">
        <f t="shared" si="7"/>
        <v>1503594</v>
      </c>
      <c r="I93" s="102">
        <f t="shared" si="7"/>
        <v>358128</v>
      </c>
      <c r="J93" s="121">
        <f t="shared" si="7"/>
        <v>8219209</v>
      </c>
    </row>
    <row r="94" spans="1:5" s="21" customFormat="1" ht="49.5" customHeight="1">
      <c r="A94" s="26"/>
      <c r="B94" s="26"/>
      <c r="C94" s="26"/>
      <c r="D94" s="30"/>
      <c r="E94" s="31"/>
    </row>
    <row r="95" spans="1:5" s="21" customFormat="1" ht="29.25" customHeight="1" thickBot="1">
      <c r="A95" s="36" t="s">
        <v>126</v>
      </c>
      <c r="B95" s="36"/>
      <c r="C95" s="36"/>
      <c r="D95" s="36"/>
      <c r="E95" s="36"/>
    </row>
    <row r="96" spans="1:10" s="21" customFormat="1" ht="18.75" customHeight="1">
      <c r="A96" s="555" t="s">
        <v>2</v>
      </c>
      <c r="B96" s="557" t="s">
        <v>3</v>
      </c>
      <c r="C96" s="559" t="s">
        <v>4</v>
      </c>
      <c r="D96" s="561" t="s">
        <v>238</v>
      </c>
      <c r="E96" s="565" t="s">
        <v>175</v>
      </c>
      <c r="F96" s="567" t="s">
        <v>10</v>
      </c>
      <c r="G96" s="567"/>
      <c r="H96" s="567"/>
      <c r="I96" s="568"/>
      <c r="J96" s="570" t="s">
        <v>152</v>
      </c>
    </row>
    <row r="97" spans="1:10" s="25" customFormat="1" ht="75" customHeight="1" thickBot="1">
      <c r="A97" s="556"/>
      <c r="B97" s="558"/>
      <c r="C97" s="560"/>
      <c r="D97" s="562"/>
      <c r="E97" s="569"/>
      <c r="F97" s="50" t="s">
        <v>11</v>
      </c>
      <c r="G97" s="51" t="s">
        <v>13</v>
      </c>
      <c r="H97" s="52" t="s">
        <v>173</v>
      </c>
      <c r="I97" s="52" t="s">
        <v>174</v>
      </c>
      <c r="J97" s="571"/>
    </row>
    <row r="98" spans="1:10" s="25" customFormat="1" ht="15" customHeight="1" thickBot="1">
      <c r="A98" s="87" t="s">
        <v>180</v>
      </c>
      <c r="B98" s="88" t="s">
        <v>181</v>
      </c>
      <c r="C98" s="89">
        <v>3</v>
      </c>
      <c r="D98" s="90">
        <v>4</v>
      </c>
      <c r="E98" s="38">
        <v>5</v>
      </c>
      <c r="F98" s="91">
        <v>6</v>
      </c>
      <c r="G98" s="92">
        <v>7</v>
      </c>
      <c r="H98" s="38">
        <v>8</v>
      </c>
      <c r="I98" s="38">
        <v>9</v>
      </c>
      <c r="J98" s="151">
        <v>10</v>
      </c>
    </row>
    <row r="99" spans="1:10" s="25" customFormat="1" ht="24.75" customHeight="1">
      <c r="A99" s="54" t="s">
        <v>46</v>
      </c>
      <c r="B99" s="34"/>
      <c r="C99" s="48" t="s">
        <v>47</v>
      </c>
      <c r="D99" s="22">
        <f>D100</f>
        <v>198100</v>
      </c>
      <c r="E99" s="22">
        <f>E100</f>
        <v>198100</v>
      </c>
      <c r="F99" s="22">
        <f>F100</f>
        <v>198100</v>
      </c>
      <c r="G99" s="130"/>
      <c r="H99" s="130"/>
      <c r="I99" s="130"/>
      <c r="J99" s="136"/>
    </row>
    <row r="100" spans="1:10" ht="25.5" customHeight="1" thickBot="1">
      <c r="A100" s="53"/>
      <c r="B100" s="46" t="s">
        <v>102</v>
      </c>
      <c r="C100" s="47" t="s">
        <v>103</v>
      </c>
      <c r="D100" s="42">
        <f aca="true" t="shared" si="8" ref="D100:D108">SUM(E100+J100)</f>
        <v>198100</v>
      </c>
      <c r="E100" s="104">
        <v>198100</v>
      </c>
      <c r="F100" s="137">
        <v>198100</v>
      </c>
      <c r="G100" s="129"/>
      <c r="H100" s="129"/>
      <c r="I100" s="129"/>
      <c r="J100" s="123"/>
    </row>
    <row r="101" spans="1:10" s="21" customFormat="1" ht="72.75" customHeight="1">
      <c r="A101" s="54" t="s">
        <v>104</v>
      </c>
      <c r="B101" s="34"/>
      <c r="C101" s="45" t="s">
        <v>105</v>
      </c>
      <c r="D101" s="22">
        <f>D102</f>
        <v>8200</v>
      </c>
      <c r="E101" s="22">
        <f>E102</f>
        <v>8200</v>
      </c>
      <c r="F101" s="22">
        <f>F102</f>
        <v>2462</v>
      </c>
      <c r="G101" s="130"/>
      <c r="H101" s="130"/>
      <c r="I101" s="130"/>
      <c r="J101" s="124"/>
    </row>
    <row r="102" spans="1:10" ht="36" customHeight="1" thickBot="1">
      <c r="A102" s="53"/>
      <c r="B102" s="46" t="s">
        <v>106</v>
      </c>
      <c r="C102" s="47" t="s">
        <v>107</v>
      </c>
      <c r="D102" s="42">
        <f t="shared" si="8"/>
        <v>8200</v>
      </c>
      <c r="E102" s="104">
        <v>8200</v>
      </c>
      <c r="F102" s="137">
        <v>2462</v>
      </c>
      <c r="G102" s="129"/>
      <c r="H102" s="129"/>
      <c r="I102" s="129"/>
      <c r="J102" s="123"/>
    </row>
    <row r="103" spans="1:10" s="21" customFormat="1" ht="41.25" customHeight="1">
      <c r="A103" s="54" t="s">
        <v>53</v>
      </c>
      <c r="B103" s="34"/>
      <c r="C103" s="45" t="s">
        <v>54</v>
      </c>
      <c r="D103" s="22">
        <f>D104</f>
        <v>1800</v>
      </c>
      <c r="E103" s="22">
        <f>E104</f>
        <v>1800</v>
      </c>
      <c r="F103" s="138"/>
      <c r="G103" s="131"/>
      <c r="H103" s="131"/>
      <c r="I103" s="131"/>
      <c r="J103" s="125"/>
    </row>
    <row r="104" spans="1:10" s="21" customFormat="1" ht="30.75" customHeight="1" thickBot="1">
      <c r="A104" s="53"/>
      <c r="B104" s="46" t="s">
        <v>56</v>
      </c>
      <c r="C104" s="49" t="s">
        <v>28</v>
      </c>
      <c r="D104" s="42">
        <f t="shared" si="8"/>
        <v>1800</v>
      </c>
      <c r="E104" s="104">
        <v>1800</v>
      </c>
      <c r="F104" s="137"/>
      <c r="G104" s="129"/>
      <c r="H104" s="129"/>
      <c r="I104" s="129"/>
      <c r="J104" s="123"/>
    </row>
    <row r="105" spans="1:10" ht="30.75" customHeight="1">
      <c r="A105" s="54" t="s">
        <v>154</v>
      </c>
      <c r="B105" s="34"/>
      <c r="C105" s="48" t="s">
        <v>177</v>
      </c>
      <c r="D105" s="22">
        <f>D107+D108+D106</f>
        <v>7155040</v>
      </c>
      <c r="E105" s="22">
        <f>E107+E108+E106</f>
        <v>7155040</v>
      </c>
      <c r="F105" s="22">
        <f>F107+F108+F106</f>
        <v>223080</v>
      </c>
      <c r="G105" s="22"/>
      <c r="H105" s="22"/>
      <c r="I105" s="22"/>
      <c r="J105" s="517"/>
    </row>
    <row r="106" spans="1:10" ht="45">
      <c r="A106" s="54"/>
      <c r="B106" s="41" t="s">
        <v>267</v>
      </c>
      <c r="C106" s="44" t="s">
        <v>269</v>
      </c>
      <c r="D106" s="40">
        <f t="shared" si="8"/>
        <v>6190580</v>
      </c>
      <c r="E106" s="105">
        <f>4010000+2180580</f>
        <v>6190580</v>
      </c>
      <c r="F106" s="518">
        <f>179500+43580</f>
        <v>223080</v>
      </c>
      <c r="G106" s="132"/>
      <c r="H106" s="132"/>
      <c r="I106" s="132"/>
      <c r="J106" s="126"/>
    </row>
    <row r="107" spans="1:10" ht="63.75" customHeight="1">
      <c r="A107" s="55"/>
      <c r="B107" s="41" t="s">
        <v>155</v>
      </c>
      <c r="C107" s="44" t="s">
        <v>270</v>
      </c>
      <c r="D107" s="40">
        <f t="shared" si="8"/>
        <v>89150</v>
      </c>
      <c r="E107" s="105">
        <v>89150</v>
      </c>
      <c r="F107" s="139"/>
      <c r="G107" s="132"/>
      <c r="H107" s="132"/>
      <c r="I107" s="132"/>
      <c r="J107" s="126"/>
    </row>
    <row r="108" spans="1:10" ht="30">
      <c r="A108" s="56"/>
      <c r="B108" s="41" t="s">
        <v>156</v>
      </c>
      <c r="C108" s="44" t="s">
        <v>138</v>
      </c>
      <c r="D108" s="40">
        <f t="shared" si="8"/>
        <v>875310</v>
      </c>
      <c r="E108" s="105">
        <v>875310</v>
      </c>
      <c r="F108" s="140"/>
      <c r="G108" s="128"/>
      <c r="H108" s="128"/>
      <c r="I108" s="128"/>
      <c r="J108" s="122"/>
    </row>
    <row r="109" spans="1:10" s="25" customFormat="1" ht="32.25" customHeight="1" thickBot="1">
      <c r="A109" s="541" t="s">
        <v>108</v>
      </c>
      <c r="B109" s="542"/>
      <c r="C109" s="542"/>
      <c r="D109" s="32">
        <f>D99+D101+D103+D105</f>
        <v>7363140</v>
      </c>
      <c r="E109" s="32">
        <f>E99+E101+E103+E105</f>
        <v>7363140</v>
      </c>
      <c r="F109" s="32">
        <f>F99+F101+F103+F105</f>
        <v>423642</v>
      </c>
      <c r="G109" s="133"/>
      <c r="H109" s="133"/>
      <c r="I109" s="133"/>
      <c r="J109" s="127"/>
    </row>
    <row r="110" spans="1:5" s="25" customFormat="1" ht="35.25" customHeight="1">
      <c r="A110" s="43"/>
      <c r="B110" s="43"/>
      <c r="C110" s="43"/>
      <c r="D110" s="31"/>
      <c r="E110" s="31"/>
    </row>
    <row r="111" spans="1:7" s="25" customFormat="1" ht="50.25" customHeight="1" thickBot="1">
      <c r="A111" s="544" t="s">
        <v>128</v>
      </c>
      <c r="B111" s="544"/>
      <c r="C111" s="544"/>
      <c r="D111" s="544"/>
      <c r="E111" s="544"/>
      <c r="F111" s="544"/>
      <c r="G111" s="544"/>
    </row>
    <row r="112" spans="1:10" s="25" customFormat="1" ht="26.25" customHeight="1">
      <c r="A112" s="555" t="s">
        <v>2</v>
      </c>
      <c r="B112" s="557" t="s">
        <v>3</v>
      </c>
      <c r="C112" s="559" t="s">
        <v>4</v>
      </c>
      <c r="D112" s="561" t="s">
        <v>238</v>
      </c>
      <c r="E112" s="565" t="s">
        <v>175</v>
      </c>
      <c r="F112" s="567" t="s">
        <v>10</v>
      </c>
      <c r="G112" s="567"/>
      <c r="H112" s="567"/>
      <c r="I112" s="568"/>
      <c r="J112" s="563" t="s">
        <v>152</v>
      </c>
    </row>
    <row r="113" spans="1:10" s="25" customFormat="1" ht="79.5" customHeight="1" thickBot="1">
      <c r="A113" s="556"/>
      <c r="B113" s="558"/>
      <c r="C113" s="560"/>
      <c r="D113" s="562"/>
      <c r="E113" s="566"/>
      <c r="F113" s="50" t="s">
        <v>11</v>
      </c>
      <c r="G113" s="51" t="s">
        <v>13</v>
      </c>
      <c r="H113" s="52" t="s">
        <v>173</v>
      </c>
      <c r="I113" s="52" t="s">
        <v>174</v>
      </c>
      <c r="J113" s="564"/>
    </row>
    <row r="114" spans="1:10" s="25" customFormat="1" ht="15.75" customHeight="1" thickBot="1">
      <c r="A114" s="87" t="s">
        <v>180</v>
      </c>
      <c r="B114" s="88" t="s">
        <v>181</v>
      </c>
      <c r="C114" s="89">
        <v>3</v>
      </c>
      <c r="D114" s="90">
        <v>4</v>
      </c>
      <c r="E114" s="38">
        <v>5</v>
      </c>
      <c r="F114" s="91">
        <v>6</v>
      </c>
      <c r="G114" s="92">
        <v>7</v>
      </c>
      <c r="H114" s="38">
        <v>8</v>
      </c>
      <c r="I114" s="38">
        <v>9</v>
      </c>
      <c r="J114" s="151">
        <v>10</v>
      </c>
    </row>
    <row r="115" spans="1:10" s="25" customFormat="1" ht="21.75" customHeight="1">
      <c r="A115" s="57" t="s">
        <v>61</v>
      </c>
      <c r="B115" s="19"/>
      <c r="C115" s="58" t="s">
        <v>274</v>
      </c>
      <c r="D115" s="20">
        <f>SUM(D116)</f>
        <v>29000</v>
      </c>
      <c r="E115" s="20">
        <f>SUM(E116)</f>
        <v>29000</v>
      </c>
      <c r="F115" s="20">
        <f>SUM(F116)</f>
        <v>3980</v>
      </c>
      <c r="G115" s="20"/>
      <c r="H115" s="141"/>
      <c r="I115" s="141"/>
      <c r="J115" s="142"/>
    </row>
    <row r="116" spans="1:10" s="25" customFormat="1" ht="15.75" customHeight="1" thickBot="1">
      <c r="A116" s="530"/>
      <c r="B116" s="39" t="s">
        <v>65</v>
      </c>
      <c r="C116" s="44" t="s">
        <v>19</v>
      </c>
      <c r="D116" s="40">
        <f>SUM(E116+J116)</f>
        <v>29000</v>
      </c>
      <c r="E116" s="104">
        <v>29000</v>
      </c>
      <c r="F116" s="137">
        <v>3980</v>
      </c>
      <c r="G116" s="137"/>
      <c r="H116" s="137"/>
      <c r="I116" s="137"/>
      <c r="J116" s="143"/>
    </row>
    <row r="117" spans="1:10" s="25" customFormat="1" ht="27" customHeight="1">
      <c r="A117" s="57" t="s">
        <v>154</v>
      </c>
      <c r="B117" s="19"/>
      <c r="C117" s="58" t="s">
        <v>177</v>
      </c>
      <c r="D117" s="20">
        <f>SUM(D118:D119)</f>
        <v>332910</v>
      </c>
      <c r="E117" s="20">
        <f>SUM(E118:E119)</f>
        <v>332910</v>
      </c>
      <c r="F117" s="20">
        <f>SUM(F118:F119)</f>
        <v>249600</v>
      </c>
      <c r="G117" s="20"/>
      <c r="H117" s="141"/>
      <c r="I117" s="141"/>
      <c r="J117" s="142"/>
    </row>
    <row r="118" spans="1:10" s="25" customFormat="1" ht="27" customHeight="1">
      <c r="A118" s="57"/>
      <c r="B118" s="39" t="s">
        <v>179</v>
      </c>
      <c r="C118" s="44" t="s">
        <v>115</v>
      </c>
      <c r="D118" s="40">
        <f>SUM(E118+J118)</f>
        <v>213180</v>
      </c>
      <c r="E118" s="105">
        <f>210000+3180</f>
        <v>213180</v>
      </c>
      <c r="F118" s="140">
        <v>167940</v>
      </c>
      <c r="G118" s="140"/>
      <c r="H118" s="140"/>
      <c r="I118" s="140"/>
      <c r="J118" s="529"/>
    </row>
    <row r="119" spans="1:10" s="25" customFormat="1" ht="25.5" customHeight="1" thickBot="1">
      <c r="A119" s="59"/>
      <c r="B119" s="528" t="s">
        <v>169</v>
      </c>
      <c r="C119" s="519" t="s">
        <v>5</v>
      </c>
      <c r="D119" s="520">
        <f>SUM(E119+J119)</f>
        <v>119730</v>
      </c>
      <c r="E119" s="106">
        <v>119730</v>
      </c>
      <c r="F119" s="146">
        <v>81660</v>
      </c>
      <c r="G119" s="146"/>
      <c r="H119" s="146"/>
      <c r="I119" s="146"/>
      <c r="J119" s="147"/>
    </row>
    <row r="120" spans="1:10" ht="44.25" customHeight="1">
      <c r="A120" s="149" t="s">
        <v>90</v>
      </c>
      <c r="B120" s="19"/>
      <c r="C120" s="58" t="s">
        <v>91</v>
      </c>
      <c r="D120" s="20">
        <f>D121</f>
        <v>70000</v>
      </c>
      <c r="E120" s="22">
        <f>E121</f>
        <v>70000</v>
      </c>
      <c r="F120" s="141"/>
      <c r="G120" s="22">
        <f>G121</f>
        <v>70000</v>
      </c>
      <c r="H120" s="141"/>
      <c r="I120" s="141"/>
      <c r="J120" s="142"/>
    </row>
    <row r="121" spans="1:10" ht="29.25" customHeight="1" thickBot="1">
      <c r="A121" s="60"/>
      <c r="B121" s="11" t="s">
        <v>94</v>
      </c>
      <c r="C121" s="61" t="s">
        <v>21</v>
      </c>
      <c r="D121" s="12">
        <f>E121+J121</f>
        <v>70000</v>
      </c>
      <c r="E121" s="104">
        <v>70000</v>
      </c>
      <c r="F121" s="137"/>
      <c r="G121" s="137">
        <v>70000</v>
      </c>
      <c r="H121" s="137"/>
      <c r="I121" s="137"/>
      <c r="J121" s="143"/>
    </row>
    <row r="122" spans="1:10" ht="36" customHeight="1" thickBot="1">
      <c r="A122" s="543" t="s">
        <v>127</v>
      </c>
      <c r="B122" s="544"/>
      <c r="C122" s="545"/>
      <c r="D122" s="32">
        <f>SUM(D120+D117+D115)</f>
        <v>431910</v>
      </c>
      <c r="E122" s="32">
        <f>SUM(E120+E117+E115)</f>
        <v>431910</v>
      </c>
      <c r="F122" s="32">
        <f>SUM(F120+F117)</f>
        <v>249600</v>
      </c>
      <c r="G122" s="32">
        <f>SUM(G120+G117)</f>
        <v>70000</v>
      </c>
      <c r="H122" s="32"/>
      <c r="I122" s="32"/>
      <c r="J122" s="79"/>
    </row>
    <row r="123" spans="1:10" ht="11.25" customHeight="1">
      <c r="A123" s="150"/>
      <c r="B123" s="27"/>
      <c r="C123" s="28"/>
      <c r="D123" s="29"/>
      <c r="E123" s="134"/>
      <c r="F123" s="144"/>
      <c r="G123" s="144"/>
      <c r="H123" s="144"/>
      <c r="I123" s="144"/>
      <c r="J123" s="145"/>
    </row>
    <row r="124" spans="1:10" ht="27" customHeight="1">
      <c r="A124" s="546" t="s">
        <v>137</v>
      </c>
      <c r="B124" s="547"/>
      <c r="C124" s="548"/>
      <c r="D124" s="527">
        <f aca="true" t="shared" si="9" ref="D124:J124">SUM(D122+D109+D93)</f>
        <v>82548952</v>
      </c>
      <c r="E124" s="527">
        <f t="shared" si="9"/>
        <v>74329743</v>
      </c>
      <c r="F124" s="24">
        <f t="shared" si="9"/>
        <v>30844470</v>
      </c>
      <c r="G124" s="24">
        <f t="shared" si="9"/>
        <v>9880183</v>
      </c>
      <c r="H124" s="24">
        <f t="shared" si="9"/>
        <v>1503594</v>
      </c>
      <c r="I124" s="24">
        <f t="shared" si="9"/>
        <v>358128</v>
      </c>
      <c r="J124" s="148">
        <f t="shared" si="9"/>
        <v>8219209</v>
      </c>
    </row>
    <row r="125" spans="1:10" ht="15.75" thickBot="1">
      <c r="A125" s="549"/>
      <c r="B125" s="550"/>
      <c r="C125" s="551"/>
      <c r="D125" s="14"/>
      <c r="E125" s="135"/>
      <c r="F125" s="146"/>
      <c r="G125" s="146"/>
      <c r="H125" s="146"/>
      <c r="I125" s="146"/>
      <c r="J125" s="147"/>
    </row>
    <row r="126" spans="1:5" ht="15">
      <c r="A126" s="15"/>
      <c r="B126" s="16"/>
      <c r="C126" s="17"/>
      <c r="D126" s="18"/>
      <c r="E126" s="18"/>
    </row>
    <row r="127" spans="1:5" ht="15">
      <c r="A127" s="15"/>
      <c r="B127" s="16"/>
      <c r="C127" s="17"/>
      <c r="D127" s="18"/>
      <c r="E127" s="18"/>
    </row>
  </sheetData>
  <mergeCells count="33">
    <mergeCell ref="J96:J97"/>
    <mergeCell ref="D112:D113"/>
    <mergeCell ref="F112:I112"/>
    <mergeCell ref="J112:J113"/>
    <mergeCell ref="E112:E113"/>
    <mergeCell ref="A112:A113"/>
    <mergeCell ref="B112:B113"/>
    <mergeCell ref="C112:C113"/>
    <mergeCell ref="F96:I96"/>
    <mergeCell ref="D96:D97"/>
    <mergeCell ref="E96:E97"/>
    <mergeCell ref="A10:A11"/>
    <mergeCell ref="B10:B11"/>
    <mergeCell ref="C10:C11"/>
    <mergeCell ref="A109:C109"/>
    <mergeCell ref="A93:C93"/>
    <mergeCell ref="A96:A97"/>
    <mergeCell ref="B96:B97"/>
    <mergeCell ref="C96:C97"/>
    <mergeCell ref="E1:J1"/>
    <mergeCell ref="E2:J2"/>
    <mergeCell ref="E3:J3"/>
    <mergeCell ref="E4:J4"/>
    <mergeCell ref="A124:C125"/>
    <mergeCell ref="E5:J5"/>
    <mergeCell ref="E6:J6"/>
    <mergeCell ref="A7:G7"/>
    <mergeCell ref="A111:G111"/>
    <mergeCell ref="F10:I10"/>
    <mergeCell ref="J10:J11"/>
    <mergeCell ref="D10:D11"/>
    <mergeCell ref="E10:E11"/>
    <mergeCell ref="A122:C122"/>
  </mergeCells>
  <printOptions/>
  <pageMargins left="0.8267716535433072" right="0.2362204724409449" top="0.7086614173228347" bottom="0.4330708661417323" header="0.5118110236220472" footer="0.5118110236220472"/>
  <pageSetup horizontalDpi="1200" verticalDpi="12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Twoja nazwa użytkownika</cp:lastModifiedBy>
  <cp:lastPrinted>2005-02-24T12:42:08Z</cp:lastPrinted>
  <dcterms:created xsi:type="dcterms:W3CDTF">2000-09-08T06:02:33Z</dcterms:created>
  <dcterms:modified xsi:type="dcterms:W3CDTF">2005-02-24T12:42:27Z</dcterms:modified>
  <cp:category/>
  <cp:version/>
  <cp:contentType/>
  <cp:contentStatus/>
</cp:coreProperties>
</file>